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0300" windowHeight="12520" activeTab="6"/>
  </bookViews>
  <sheets>
    <sheet name="Ctrl" sheetId="1" r:id="rId1"/>
    <sheet name="By-House" sheetId="2" r:id="rId2"/>
    <sheet name="By-Lot" sheetId="3" r:id="rId3"/>
    <sheet name="Rental Val." sheetId="4" r:id="rId4"/>
    <sheet name="Per-Ft" sheetId="5" r:id="rId5"/>
    <sheet name="Rent-List" sheetId="6" r:id="rId6"/>
    <sheet name="Rent-List-adu" sheetId="7" r:id="rId7"/>
    <sheet name="Rental Val.old" sheetId="8" r:id="rId8"/>
  </sheets>
  <definedNames>
    <definedName name="_xlnm.Print_Titles" localSheetId="1">'By-House'!$1:$3</definedName>
    <definedName name="_xlnm.Print_Titles" localSheetId="2">'By-Lot'!$1:$3</definedName>
    <definedName name="_xlnm.Print_Titles" localSheetId="4">'Per-Ft'!$1:$1</definedName>
    <definedName name="_xlnm.Print_Titles" localSheetId="5">'Rent-List'!$1:$5</definedName>
    <definedName name="_xlnm.Print_Titles" localSheetId="6">'Rent-List-adu'!$1:$5</definedName>
    <definedName name="_xlnm.Print_Titles" localSheetId="3">'Rental Val.'!$4:$4</definedName>
  </definedNames>
  <calcPr fullCalcOnLoad="1"/>
</workbook>
</file>

<file path=xl/comments6.xml><?xml version="1.0" encoding="utf-8"?>
<comments xmlns="http://schemas.openxmlformats.org/spreadsheetml/2006/main">
  <authors>
    <author>Sunoco User</author>
  </authors>
  <commentList>
    <comment ref="H79" authorId="0">
      <text>
        <r>
          <rPr>
            <b/>
            <sz val="8"/>
            <rFont val="Tahoma"/>
            <family val="0"/>
          </rPr>
          <t>T. Frantz:</t>
        </r>
        <r>
          <rPr>
            <sz val="8"/>
            <rFont val="Tahoma"/>
            <family val="0"/>
          </rPr>
          <t xml:space="preserve">
Per A. Dahl, this is for the sub shop - commercial rate of 75% put here instead of creating new category.</t>
        </r>
      </text>
    </comment>
  </commentList>
</comments>
</file>

<file path=xl/comments7.xml><?xml version="1.0" encoding="utf-8"?>
<comments xmlns="http://schemas.openxmlformats.org/spreadsheetml/2006/main">
  <authors>
    <author>Sunoco User</author>
  </authors>
  <commentList>
    <comment ref="H79" authorId="0">
      <text>
        <r>
          <rPr>
            <b/>
            <sz val="8"/>
            <rFont val="Tahoma"/>
            <family val="0"/>
          </rPr>
          <t>T. Frantz:</t>
        </r>
        <r>
          <rPr>
            <sz val="8"/>
            <rFont val="Tahoma"/>
            <family val="0"/>
          </rPr>
          <t xml:space="preserve">
Per A. Dahl, this is for the sub shop - commercial rate of 75% put here instead of creating new category.</t>
        </r>
      </text>
    </comment>
  </commentList>
</comments>
</file>

<file path=xl/sharedStrings.xml><?xml version="1.0" encoding="utf-8"?>
<sst xmlns="http://schemas.openxmlformats.org/spreadsheetml/2006/main" count="2514" uniqueCount="419">
  <si>
    <t>Grn. Cor.</t>
  </si>
  <si>
    <t>Mill Rd</t>
  </si>
  <si>
    <t>Arden St</t>
  </si>
  <si>
    <t>Land Rent</t>
  </si>
  <si>
    <t>Living</t>
  </si>
  <si>
    <t>Area</t>
  </si>
  <si>
    <t>Lot #</t>
  </si>
  <si>
    <t>Arden St.</t>
  </si>
  <si>
    <t>7A</t>
  </si>
  <si>
    <t>2 Rental Houses - None Owner Occupied</t>
  </si>
  <si>
    <t>Arden St</t>
  </si>
  <si>
    <t>Cabin N.B.</t>
  </si>
  <si>
    <t>Bldg. Value</t>
  </si>
  <si>
    <t>of Income</t>
  </si>
  <si>
    <t>Bldg. Val.</t>
  </si>
  <si>
    <t>Potential Land Rent</t>
  </si>
  <si>
    <t>Value</t>
  </si>
  <si>
    <t>Interest</t>
  </si>
  <si>
    <t>Inflation</t>
  </si>
  <si>
    <t>Maint.</t>
  </si>
  <si>
    <t>Additional</t>
  </si>
  <si>
    <t>Lawn</t>
  </si>
  <si>
    <t>83B-1</t>
  </si>
  <si>
    <t>More</t>
  </si>
  <si>
    <t>Marsh Rd.</t>
  </si>
  <si>
    <t>3 Rental Houses - None Owner Occupied</t>
  </si>
  <si>
    <t>Pond Ln</t>
  </si>
  <si>
    <t>Lot listed here for comparison only</t>
  </si>
  <si>
    <t>Greens</t>
  </si>
  <si>
    <t>Less</t>
  </si>
  <si>
    <t>34B</t>
  </si>
  <si>
    <t xml:space="preserve">Bungalow </t>
  </si>
  <si>
    <t>10,000 S.F.</t>
  </si>
  <si>
    <t>Rental Value of each lot based on the highest and best use</t>
  </si>
  <si>
    <t>Totals</t>
  </si>
  <si>
    <t>34B</t>
  </si>
  <si>
    <t>92A</t>
  </si>
  <si>
    <t>Arden St</t>
  </si>
  <si>
    <t xml:space="preserve">Fronts Harvey </t>
  </si>
  <si>
    <t>Arden Sts. Cor</t>
  </si>
  <si>
    <t>Per S.F.</t>
  </si>
  <si>
    <t>More</t>
  </si>
  <si>
    <t>Bldg</t>
  </si>
  <si>
    <t xml:space="preserve">Backs Woods </t>
  </si>
  <si>
    <t>Woods &amp; Green</t>
  </si>
  <si>
    <t>Fronts Harvey</t>
  </si>
  <si>
    <t xml:space="preserve">Backs Woods </t>
  </si>
  <si>
    <t>Bungalow</t>
  </si>
  <si>
    <t xml:space="preserve"> Bungalow</t>
  </si>
  <si>
    <t xml:space="preserve">Bungalow </t>
  </si>
  <si>
    <t>ADU listed to the right with 8,100 Sq. Ft.</t>
  </si>
  <si>
    <t>ADU listed to the right with 750 Sq. Ft.</t>
  </si>
  <si>
    <t xml:space="preserve">Cost </t>
  </si>
  <si>
    <t>Bungalow N.B.</t>
  </si>
  <si>
    <t>Green</t>
  </si>
  <si>
    <t>Marsh Rd</t>
  </si>
  <si>
    <t>Management</t>
  </si>
  <si>
    <t>Insurance</t>
  </si>
  <si>
    <t>&amp; Full</t>
  </si>
  <si>
    <t>2205A</t>
  </si>
  <si>
    <t>32A</t>
  </si>
  <si>
    <t>Location</t>
  </si>
  <si>
    <t>Shop</t>
  </si>
  <si>
    <t>(Value)</t>
  </si>
  <si>
    <t>Harvey Rd</t>
  </si>
  <si>
    <t>Inn Ln</t>
  </si>
  <si>
    <t>Lot #</t>
  </si>
  <si>
    <t>ADU listed to the right with 6,058 Sq. Ft.</t>
  </si>
  <si>
    <t>Orleans Rd</t>
  </si>
  <si>
    <t>Fronts Harvey</t>
  </si>
  <si>
    <t>Ranch</t>
  </si>
  <si>
    <t>Green</t>
  </si>
  <si>
    <t>130.5B</t>
  </si>
  <si>
    <t>Tot. Bldg. S.F.&gt;</t>
  </si>
  <si>
    <t>shape</t>
  </si>
  <si>
    <t>2 Rental Houses - None Owner Occupied</t>
  </si>
  <si>
    <t>8A</t>
  </si>
  <si>
    <t>Totals</t>
  </si>
  <si>
    <t>8A</t>
  </si>
  <si>
    <t>Carriage House</t>
  </si>
  <si>
    <t>Arden St</t>
  </si>
  <si>
    <t>No View</t>
  </si>
  <si>
    <t>Arden St.</t>
  </si>
  <si>
    <t>Lot #</t>
  </si>
  <si>
    <t>Colonial</t>
  </si>
  <si>
    <t>2 Story House</t>
  </si>
  <si>
    <t>ADU listed to the right with 5,950 Sq. Ft.</t>
  </si>
  <si>
    <t>Cherry Ln</t>
  </si>
  <si>
    <t>Mrsh &amp; Hrvy</t>
  </si>
  <si>
    <t>No Side St.</t>
  </si>
  <si>
    <t>Cor. Lot</t>
  </si>
  <si>
    <t xml:space="preserve">Fronts Green </t>
  </si>
  <si>
    <t>of Land</t>
  </si>
  <si>
    <t>Additional</t>
  </si>
  <si>
    <t xml:space="preserve">Land &amp; </t>
  </si>
  <si>
    <t xml:space="preserve"> Building</t>
  </si>
  <si>
    <t>dwelling</t>
  </si>
  <si>
    <t xml:space="preserve">Square  </t>
  </si>
  <si>
    <t>feet of lot</t>
  </si>
  <si>
    <t>assigned</t>
  </si>
  <si>
    <t xml:space="preserve">to extra </t>
  </si>
  <si>
    <t>Res.</t>
  </si>
  <si>
    <t>1st.</t>
  </si>
  <si>
    <t>Apt. Bldg. - None Owner Occupied</t>
  </si>
  <si>
    <t>Apt. Bldg.</t>
  </si>
  <si>
    <t>Less</t>
  </si>
  <si>
    <t>Extraoplation</t>
  </si>
  <si>
    <t>Bungalow N.B.</t>
  </si>
  <si>
    <t>2 Story W.B.</t>
  </si>
  <si>
    <t>Cabin N.B.</t>
  </si>
  <si>
    <t>Bungalow W.B.</t>
  </si>
  <si>
    <t>Bungalow N.B.</t>
  </si>
  <si>
    <t>The area assigned to the Archives and community room and a proportional area of the land was estimated and not included.  $25 was added only to the one front apartment with a view of the Green</t>
  </si>
  <si>
    <t>Marsh&amp;Harvey</t>
  </si>
  <si>
    <t>20A</t>
  </si>
  <si>
    <t>Income</t>
  </si>
  <si>
    <t>Cape Cod</t>
  </si>
  <si>
    <t>More</t>
  </si>
  <si>
    <t>Less</t>
  </si>
  <si>
    <t xml:space="preserve"> Size</t>
  </si>
  <si>
    <t>of</t>
  </si>
  <si>
    <t>Street #</t>
  </si>
  <si>
    <t>Street</t>
  </si>
  <si>
    <t>St.</t>
  </si>
  <si>
    <t>Location</t>
  </si>
  <si>
    <t>% more than next to houses</t>
  </si>
  <si>
    <t>86.25B</t>
  </si>
  <si>
    <t>Pie Shaped</t>
  </si>
  <si>
    <t>Less</t>
  </si>
  <si>
    <t>more</t>
  </si>
  <si>
    <t>more</t>
  </si>
  <si>
    <t>Harvey Rd.</t>
  </si>
  <si>
    <t>more</t>
  </si>
  <si>
    <t>Milky Way</t>
  </si>
  <si>
    <t>Walnut Ln</t>
  </si>
  <si>
    <t>73B</t>
  </si>
  <si>
    <t>% more than next to houses</t>
  </si>
  <si>
    <t>Lot listed here for comparison only</t>
  </si>
  <si>
    <t>Arden St.</t>
  </si>
  <si>
    <t xml:space="preserve">Fronts Harvey </t>
  </si>
  <si>
    <t>Fronts Green</t>
  </si>
  <si>
    <t>Apts. Only</t>
  </si>
  <si>
    <t>Entire Lot</t>
  </si>
  <si>
    <t>2 Rental Houses - None Owner Occupied</t>
  </si>
  <si>
    <t>ADU listed to the right with 12,098 Sq. Ft.</t>
  </si>
  <si>
    <t>Harvey</t>
  </si>
  <si>
    <t>Woods</t>
  </si>
  <si>
    <t>Green</t>
  </si>
  <si>
    <t>Cape Cod W.B.</t>
  </si>
  <si>
    <t>Total Rental Value</t>
  </si>
  <si>
    <t>Marsh &amp; Harvey</t>
  </si>
  <si>
    <t>Weave Shop</t>
  </si>
  <si>
    <t xml:space="preserve">Up date </t>
  </si>
  <si>
    <t>Little Ln</t>
  </si>
  <si>
    <t>Cottage W.B.</t>
  </si>
  <si>
    <t>Cottage N.B.</t>
  </si>
  <si>
    <t>Cottage N.B.</t>
  </si>
  <si>
    <t>Etc.</t>
  </si>
  <si>
    <t>Land</t>
  </si>
  <si>
    <t>$50 per month was deducted from the rent on each apartment because of the traffic light and intersection of Marsh &amp; Harvey Roads</t>
  </si>
  <si>
    <t>$25 was added to the front Apartment only because of the view of the Green</t>
  </si>
  <si>
    <t>ADU listed to the right with 11,069 Sq. Ft.</t>
  </si>
  <si>
    <t>Lovers Ln</t>
  </si>
  <si>
    <t>Tot. Bldg. S.F.:</t>
  </si>
  <si>
    <t>Millers Rd</t>
  </si>
  <si>
    <t>3B</t>
  </si>
  <si>
    <t>120B</t>
  </si>
  <si>
    <t>86.75A</t>
  </si>
  <si>
    <t>Annual</t>
  </si>
  <si>
    <t>Income</t>
  </si>
  <si>
    <t xml:space="preserve">Marsh Road </t>
  </si>
  <si>
    <t>Fronts Green</t>
  </si>
  <si>
    <t>The following lots have two houses - neither of which can be enlarged</t>
  </si>
  <si>
    <t>More</t>
  </si>
  <si>
    <t xml:space="preserve">Total </t>
  </si>
  <si>
    <t>o</t>
  </si>
  <si>
    <t>Green</t>
  </si>
  <si>
    <t>This lot listed here for comparison only</t>
  </si>
  <si>
    <t>3 Apts. - 1 Is Owner Occupied</t>
  </si>
  <si>
    <t>1 Xtra Apt.</t>
  </si>
  <si>
    <t>The Sweep</t>
  </si>
  <si>
    <t>ADU listed to the right with 2,405 Sq. Ft.</t>
  </si>
  <si>
    <t>ADU listed to the right with 2,996 Sq. Ft.</t>
  </si>
  <si>
    <t>Factores</t>
  </si>
  <si>
    <t>F.R.V. Comp.</t>
  </si>
  <si>
    <t>With Side St</t>
  </si>
  <si>
    <t>per S.F.</t>
  </si>
  <si>
    <t>Sq. Ft.</t>
  </si>
  <si>
    <t>Sq. Ft.</t>
  </si>
  <si>
    <t>Duplex Rentals</t>
  </si>
  <si>
    <t>ADU listed to the right with 4,694 Sq. Ft.</t>
  </si>
  <si>
    <t>34A</t>
  </si>
  <si>
    <t>120A</t>
  </si>
  <si>
    <t>63B</t>
  </si>
  <si>
    <t>Rental</t>
  </si>
  <si>
    <t>Parcel #</t>
  </si>
  <si>
    <t>3A</t>
  </si>
  <si>
    <t>% more than next to houses</t>
  </si>
  <si>
    <t>Lot</t>
  </si>
  <si>
    <t>ADU listed to the right with 5,329 Sq. Ft.</t>
  </si>
  <si>
    <t>Percentage less than rectangle</t>
  </si>
  <si>
    <t>Percentage less - Arden St</t>
  </si>
  <si>
    <t>S</t>
  </si>
  <si>
    <t>Hillside Rd</t>
  </si>
  <si>
    <t>19A</t>
  </si>
  <si>
    <t>W</t>
  </si>
  <si>
    <t>G</t>
  </si>
  <si>
    <t>Arden Street</t>
  </si>
  <si>
    <t>Care</t>
  </si>
  <si>
    <t>ADU listed to the right with 3,790 Sq. Ft.</t>
  </si>
  <si>
    <t xml:space="preserve">Bungalow </t>
  </si>
  <si>
    <t>Marsh</t>
  </si>
  <si>
    <t>Ranch</t>
  </si>
  <si>
    <t xml:space="preserve">Bungalow </t>
  </si>
  <si>
    <t>Grn. Cor.</t>
  </si>
  <si>
    <t>Ranch</t>
  </si>
  <si>
    <t>Marsh Road</t>
  </si>
  <si>
    <t>Commercial portion listed to the right</t>
  </si>
  <si>
    <t>Marsh Rd</t>
  </si>
  <si>
    <t>% less than on an Arden St.</t>
  </si>
  <si>
    <t>Less</t>
  </si>
  <si>
    <t>Actual</t>
  </si>
  <si>
    <t>Per S.F.</t>
  </si>
  <si>
    <t>% more than next to houses</t>
  </si>
  <si>
    <t>Base</t>
  </si>
  <si>
    <t>Per Sq. Ft.</t>
  </si>
  <si>
    <t>(Value)</t>
  </si>
  <si>
    <t>Carrage House</t>
  </si>
  <si>
    <t>Per S.F.</t>
  </si>
  <si>
    <t xml:space="preserve">Bunglow </t>
  </si>
  <si>
    <t xml:space="preserve">Cape Cod </t>
  </si>
  <si>
    <t>Arden St.</t>
  </si>
  <si>
    <t xml:space="preserve">Fronts Green </t>
  </si>
  <si>
    <t xml:space="preserve">Backs Woods </t>
  </si>
  <si>
    <t xml:space="preserve">Woods &amp; Green </t>
  </si>
  <si>
    <t>Less</t>
  </si>
  <si>
    <t>Marsh SS</t>
  </si>
  <si>
    <t>Woods</t>
  </si>
  <si>
    <t>Bungalow</t>
  </si>
  <si>
    <r>
      <t>Backs Woods</t>
    </r>
    <r>
      <rPr>
        <b/>
        <sz val="12"/>
        <rFont val="Arial"/>
        <family val="2"/>
      </rPr>
      <t xml:space="preserve"> </t>
    </r>
  </si>
  <si>
    <t>Building</t>
  </si>
  <si>
    <t>Craft Shop</t>
  </si>
  <si>
    <t>S.F.</t>
  </si>
  <si>
    <t xml:space="preserve"> Dom</t>
  </si>
  <si>
    <t>s</t>
  </si>
  <si>
    <t>n</t>
  </si>
  <si>
    <t>2 Story</t>
  </si>
  <si>
    <t>Pie shape</t>
  </si>
  <si>
    <t>Woods</t>
  </si>
  <si>
    <t>Bungalow W.B.</t>
  </si>
  <si>
    <t>ADU listed to the right with 6,647 Sq. Ft.</t>
  </si>
  <si>
    <t>Bungalow N.B.</t>
  </si>
  <si>
    <t>Bungalow W.B.</t>
  </si>
  <si>
    <t>a</t>
  </si>
  <si>
    <t>Woods</t>
  </si>
  <si>
    <t>House</t>
  </si>
  <si>
    <t>#</t>
  </si>
  <si>
    <t>Size</t>
  </si>
  <si>
    <t>Monthly</t>
  </si>
  <si>
    <t>No.</t>
  </si>
  <si>
    <t>o</t>
  </si>
  <si>
    <t>e</t>
  </si>
  <si>
    <t>No</t>
  </si>
  <si>
    <t>ADU listed to the right with 2,296.4 Sq. Ft.</t>
  </si>
  <si>
    <t>Ranch</t>
  </si>
  <si>
    <t>h</t>
  </si>
  <si>
    <t>Cor. Lot</t>
  </si>
  <si>
    <t>d</t>
  </si>
  <si>
    <t>e</t>
  </si>
  <si>
    <t>Marsh &amp; Harvey</t>
  </si>
  <si>
    <t>Cor. Lot</t>
  </si>
  <si>
    <t>Ranch</t>
  </si>
  <si>
    <t>% less than on one St.</t>
  </si>
  <si>
    <t>Woods across the street</t>
  </si>
  <si>
    <t>Ard pie</t>
  </si>
  <si>
    <t>Next 2,884 Sf</t>
  </si>
  <si>
    <t>Harvey SS</t>
  </si>
  <si>
    <t>86.75B</t>
  </si>
  <si>
    <t>Orchard Ln</t>
  </si>
  <si>
    <t>Woodand Ln</t>
  </si>
  <si>
    <t>6 Units</t>
  </si>
  <si>
    <t>1 Xtr. rental Apts.</t>
  </si>
  <si>
    <t xml:space="preserve"> Rental </t>
  </si>
  <si>
    <t>Value</t>
  </si>
  <si>
    <t>Apt. Bldg. - None Owner Occupied</t>
  </si>
  <si>
    <t>Apt. Bldg</t>
  </si>
  <si>
    <t>% less than onone St.</t>
  </si>
  <si>
    <t>More</t>
  </si>
  <si>
    <t>Bungalow ½ Bsmt.</t>
  </si>
  <si>
    <t>74B</t>
  </si>
  <si>
    <t>Lower Ln</t>
  </si>
  <si>
    <t>r</t>
  </si>
  <si>
    <t>83A-1</t>
  </si>
  <si>
    <t>Wind Ln</t>
  </si>
  <si>
    <t>Sherwood</t>
  </si>
  <si>
    <t>The Highway</t>
  </si>
  <si>
    <t>Percentage less - Arden St</t>
  </si>
  <si>
    <t>83A-2</t>
  </si>
  <si>
    <t>90-91</t>
  </si>
  <si>
    <t>R.V. for land 10,000 to 15,000 sf</t>
  </si>
  <si>
    <t>R.V. for land 7,116 to 10,000 sf</t>
  </si>
  <si>
    <t>R.V. for land 15,000 to 20,000 sf</t>
  </si>
  <si>
    <t>R.V. for land 10,000 to 15,000 sf</t>
  </si>
  <si>
    <t>R.V. for land 20,000 to 25,000 sf</t>
  </si>
  <si>
    <t>R.V. for land 25,000 to 30,000 sf</t>
  </si>
  <si>
    <t>R.V. for land 7,116 to 10,000 sf</t>
  </si>
  <si>
    <t>R.V. for land 25,000 to 30,000 sf</t>
  </si>
  <si>
    <t xml:space="preserve">Marsh </t>
  </si>
  <si>
    <t>Ard Cor</t>
  </si>
  <si>
    <t xml:space="preserve"> Green</t>
  </si>
  <si>
    <t xml:space="preserve"> Green</t>
  </si>
  <si>
    <t xml:space="preserve"> Woods </t>
  </si>
  <si>
    <t xml:space="preserve">Arden </t>
  </si>
  <si>
    <t>Water/sewer</t>
  </si>
  <si>
    <t>Totals</t>
  </si>
  <si>
    <t>Social Club - No Residences</t>
  </si>
  <si>
    <t>Club House</t>
  </si>
  <si>
    <t>81A</t>
  </si>
  <si>
    <t>8B</t>
  </si>
  <si>
    <t>Bungalow</t>
  </si>
  <si>
    <t>Mrsh</t>
  </si>
  <si>
    <t>Hrvy</t>
  </si>
  <si>
    <t>Rds.</t>
  </si>
  <si>
    <t>&amp;</t>
  </si>
  <si>
    <t>Parks</t>
  </si>
  <si>
    <t>ADU listed to the right with 6,126 Sq. Ft.</t>
  </si>
  <si>
    <t xml:space="preserve">Marsh Road </t>
  </si>
  <si>
    <t>Fronts Green</t>
  </si>
  <si>
    <t xml:space="preserve">Backs Woods </t>
  </si>
  <si>
    <t xml:space="preserve">Arden Street </t>
  </si>
  <si>
    <t xml:space="preserve">Arden Street </t>
  </si>
  <si>
    <t>Arden St</t>
  </si>
  <si>
    <t>81B</t>
  </si>
  <si>
    <t>side</t>
  </si>
  <si>
    <t>p</t>
  </si>
  <si>
    <t>Value</t>
  </si>
  <si>
    <t>Location</t>
  </si>
  <si>
    <t>Next 5,000 sf.</t>
  </si>
  <si>
    <t>Lots with one building maintaining multiple residences (Apartments called domiciles)</t>
  </si>
  <si>
    <t>2 Rental Houses - None Owner Occupied</t>
  </si>
  <si>
    <t>Arden St</t>
  </si>
  <si>
    <t>Streets &amp;</t>
  </si>
  <si>
    <t>Green Ln</t>
  </si>
  <si>
    <t>Meadow Ln</t>
  </si>
  <si>
    <t>Type</t>
  </si>
  <si>
    <t>Land &amp; Bldg.</t>
  </si>
  <si>
    <t>2008 RSM.</t>
  </si>
  <si>
    <t xml:space="preserve">Colonial </t>
  </si>
  <si>
    <t>wed</t>
  </si>
  <si>
    <t>Alol-</t>
  </si>
  <si>
    <t>Backs Woods</t>
  </si>
  <si>
    <t xml:space="preserve">Arden St. </t>
  </si>
  <si>
    <t>Commercial space</t>
  </si>
  <si>
    <t>4 Units</t>
  </si>
  <si>
    <t>5 Units</t>
  </si>
  <si>
    <t>% more than next to houses</t>
  </si>
  <si>
    <t>137A</t>
  </si>
  <si>
    <t>No Basement</t>
  </si>
  <si>
    <t>Cape Cod</t>
  </si>
  <si>
    <t>2 Story</t>
  </si>
  <si>
    <t xml:space="preserve">Cape Cod </t>
  </si>
  <si>
    <t xml:space="preserve">2 Story </t>
  </si>
  <si>
    <t xml:space="preserve">Colonial </t>
  </si>
  <si>
    <r>
      <t xml:space="preserve">Harvey </t>
    </r>
    <r>
      <rPr>
        <b/>
        <sz val="10"/>
        <rFont val="Arial"/>
        <family val="2"/>
      </rPr>
      <t>SS</t>
    </r>
  </si>
  <si>
    <t>R.V. for land in excess-30,000 sf</t>
  </si>
  <si>
    <t>2 Story</t>
  </si>
  <si>
    <t>Grn. &amp; Wds</t>
  </si>
  <si>
    <t>Cape Cod</t>
  </si>
  <si>
    <t>2 Story</t>
  </si>
  <si>
    <t>Gr &amp; Wds</t>
  </si>
  <si>
    <t>2 Story</t>
  </si>
  <si>
    <t xml:space="preserve">Bungalow </t>
  </si>
  <si>
    <t>Cor. Lot</t>
  </si>
  <si>
    <t>Cape Cod</t>
  </si>
  <si>
    <t>2 Story</t>
  </si>
  <si>
    <t xml:space="preserve">Fronts </t>
  </si>
  <si>
    <t>Woods</t>
  </si>
  <si>
    <t>Harvey</t>
  </si>
  <si>
    <t>Harvey</t>
  </si>
  <si>
    <t>H. S.S.</t>
  </si>
  <si>
    <t>H. S.S.</t>
  </si>
  <si>
    <t xml:space="preserve"> Green </t>
  </si>
  <si>
    <r>
      <t xml:space="preserve"> Woods</t>
    </r>
    <r>
      <rPr>
        <b/>
        <sz val="12"/>
        <rFont val="Arial"/>
        <family val="2"/>
      </rPr>
      <t xml:space="preserve"> </t>
    </r>
  </si>
  <si>
    <r>
      <t xml:space="preserve"> Woods</t>
    </r>
    <r>
      <rPr>
        <b/>
        <sz val="12"/>
        <rFont val="Arial"/>
        <family val="2"/>
      </rPr>
      <t xml:space="preserve"> </t>
    </r>
  </si>
  <si>
    <t>W.&amp; G.</t>
  </si>
  <si>
    <t>Arden</t>
  </si>
  <si>
    <t>W. &amp; G.</t>
  </si>
  <si>
    <t>R.V. for land 15,000 to 20,000 sf</t>
  </si>
  <si>
    <t>R.V. for land 20,000 to 25,000 sf</t>
  </si>
  <si>
    <t>M. S.S.</t>
  </si>
  <si>
    <r>
      <t>Per</t>
    </r>
    <r>
      <rPr>
        <sz val="9"/>
        <rFont val="Arial"/>
        <family val="0"/>
      </rPr>
      <t xml:space="preserve"> S.F.</t>
    </r>
  </si>
  <si>
    <t>32B</t>
  </si>
  <si>
    <t>73A</t>
  </si>
  <si>
    <t>86.25A</t>
  </si>
  <si>
    <t>Income</t>
  </si>
  <si>
    <t>Bldg. Val.</t>
  </si>
  <si>
    <t>Shop</t>
  </si>
  <si>
    <t>This lot listed here for comparison only</t>
  </si>
  <si>
    <t>Hillside</t>
  </si>
  <si>
    <t>86.25C</t>
  </si>
  <si>
    <t>63A</t>
  </si>
  <si>
    <t>of 10,000 s.f.</t>
  </si>
  <si>
    <t>The following Apartment buildings cannot be enlarged</t>
  </si>
  <si>
    <t>104-105</t>
  </si>
  <si>
    <t>Carriage House</t>
  </si>
  <si>
    <t>% less than on an Arden St.</t>
  </si>
  <si>
    <t>% less than on an Arden St.</t>
  </si>
  <si>
    <t xml:space="preserve">Bungalow </t>
  </si>
  <si>
    <t>Woods</t>
  </si>
  <si>
    <t>Per 1,000 s.f.</t>
  </si>
  <si>
    <t>to</t>
  </si>
  <si>
    <t>to</t>
  </si>
  <si>
    <t>Totals</t>
  </si>
  <si>
    <t xml:space="preserve">Fronts Harvey </t>
  </si>
  <si>
    <t>Bungalow N.B.</t>
  </si>
  <si>
    <t>Maintenance</t>
  </si>
  <si>
    <t>Cor.</t>
  </si>
  <si>
    <t>Side St.</t>
  </si>
  <si>
    <t>Marsh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</si>
</sst>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&quot;$&quot;#,##0.00"/>
    <numFmt numFmtId="167" formatCode="&quot;$&quot;#,##0.0000"/>
    <numFmt numFmtId="168" formatCode="#,##0.000"/>
    <numFmt numFmtId="169" formatCode="#,##0.00000000000000"/>
    <numFmt numFmtId="170" formatCode="0.0%"/>
    <numFmt numFmtId="171" formatCode="[$$-409]#,##0"/>
    <numFmt numFmtId="172" formatCode="[$$-409]#,##0.00"/>
    <numFmt numFmtId="173" formatCode="#,##0.0000"/>
    <numFmt numFmtId="174" formatCode="#,##0.00000"/>
    <numFmt numFmtId="175" formatCode="\$#,##0"/>
    <numFmt numFmtId="176" formatCode="0.0000000"/>
    <numFmt numFmtId="177" formatCode="0.000000000"/>
    <numFmt numFmtId="178" formatCode="#,##0.000000000"/>
    <numFmt numFmtId="179" formatCode="#,##0.000000"/>
    <numFmt numFmtId="180" formatCode="&quot;$&quot;#,##0.0000000000000000000000000"/>
    <numFmt numFmtId="181" formatCode="&quot;$&quot;#,##0.000000"/>
    <numFmt numFmtId="182" formatCode="#,##0.0000000"/>
    <numFmt numFmtId="183" formatCode="0.000000%"/>
    <numFmt numFmtId="184" formatCode="#,##0.0"/>
    <numFmt numFmtId="185" formatCode="0.000%"/>
    <numFmt numFmtId="186" formatCode="0.0000"/>
    <numFmt numFmtId="187" formatCode="0.00000"/>
    <numFmt numFmtId="188" formatCode="0.000000"/>
    <numFmt numFmtId="189" formatCode="0.0000000000%"/>
    <numFmt numFmtId="190" formatCode="#,##0.0000000000"/>
    <numFmt numFmtId="191" formatCode="0.0000%"/>
    <numFmt numFmtId="192" formatCode="&quot;$&quot;#,##0.00000"/>
    <numFmt numFmtId="193" formatCode="0.000"/>
    <numFmt numFmtId="194" formatCode="0.0"/>
    <numFmt numFmtId="195" formatCode="0.00000000"/>
    <numFmt numFmtId="196" formatCode="mmmm\ d\,\ yyyy"/>
    <numFmt numFmtId="197" formatCode="&quot;$&quot;#,##0.0"/>
  </numFmts>
  <fonts count="64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2"/>
      <name val="Arial"/>
      <family val="0"/>
    </font>
    <font>
      <sz val="14"/>
      <color indexed="10"/>
      <name val="Arial"/>
      <family val="2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8"/>
      <name val="Verdana"/>
      <family val="0"/>
    </font>
    <font>
      <sz val="14"/>
      <color indexed="61"/>
      <name val="Arial"/>
      <family val="0"/>
    </font>
    <font>
      <b/>
      <sz val="14"/>
      <color indexed="61"/>
      <name val="Arial"/>
      <family val="0"/>
    </font>
    <font>
      <b/>
      <sz val="10"/>
      <color indexed="17"/>
      <name val="Arial"/>
      <family val="0"/>
    </font>
    <font>
      <b/>
      <sz val="13"/>
      <color indexed="17"/>
      <name val="Arial"/>
      <family val="0"/>
    </font>
    <font>
      <b/>
      <sz val="16"/>
      <name val="Arial"/>
      <family val="0"/>
    </font>
    <font>
      <b/>
      <sz val="10"/>
      <color indexed="61"/>
      <name val="Arial"/>
      <family val="0"/>
    </font>
    <font>
      <b/>
      <sz val="14"/>
      <color indexed="57"/>
      <name val="Arial"/>
      <family val="0"/>
    </font>
    <font>
      <sz val="10"/>
      <color indexed="57"/>
      <name val="Arial"/>
      <family val="0"/>
    </font>
    <font>
      <b/>
      <sz val="14"/>
      <color indexed="53"/>
      <name val="Arial"/>
      <family val="0"/>
    </font>
    <font>
      <b/>
      <sz val="13"/>
      <color indexed="53"/>
      <name val="Arial"/>
      <family val="0"/>
    </font>
    <font>
      <b/>
      <sz val="12"/>
      <color indexed="53"/>
      <name val="Arial"/>
      <family val="0"/>
    </font>
    <font>
      <sz val="12"/>
      <name val="Verdana"/>
      <family val="0"/>
    </font>
    <font>
      <b/>
      <sz val="12"/>
      <name val="GillSans"/>
      <family val="0"/>
    </font>
    <font>
      <b/>
      <sz val="12"/>
      <name val="Verdana"/>
      <family val="0"/>
    </font>
    <font>
      <sz val="12"/>
      <name val="GillSans"/>
      <family val="0"/>
    </font>
    <font>
      <b/>
      <sz val="8"/>
      <name val="Tahoma"/>
      <family val="0"/>
    </font>
    <font>
      <sz val="8"/>
      <name val="Tahoma"/>
      <family val="0"/>
    </font>
    <font>
      <sz val="14"/>
      <color indexed="48"/>
      <name val="Arial"/>
      <family val="0"/>
    </font>
    <font>
      <sz val="10"/>
      <color indexed="53"/>
      <name val="Arial"/>
      <family val="0"/>
    </font>
    <font>
      <b/>
      <sz val="13"/>
      <color indexed="16"/>
      <name val="Arial"/>
      <family val="0"/>
    </font>
    <font>
      <b/>
      <sz val="14"/>
      <color indexed="16"/>
      <name val="Arial"/>
      <family val="0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4"/>
      <color indexed="16"/>
      <name val="Arial"/>
      <family val="0"/>
    </font>
    <font>
      <b/>
      <sz val="11"/>
      <color indexed="17"/>
      <name val="Arial"/>
      <family val="0"/>
    </font>
    <font>
      <sz val="11"/>
      <name val="Verdana"/>
      <family val="0"/>
    </font>
    <font>
      <b/>
      <sz val="14"/>
      <color indexed="60"/>
      <name val="Arial"/>
      <family val="0"/>
    </font>
    <font>
      <b/>
      <sz val="13"/>
      <color indexed="60"/>
      <name val="Arial"/>
      <family val="0"/>
    </font>
    <font>
      <sz val="14"/>
      <color indexed="53"/>
      <name val="Arial"/>
      <family val="0"/>
    </font>
    <font>
      <b/>
      <sz val="10"/>
      <color indexed="53"/>
      <name val="Arial"/>
      <family val="0"/>
    </font>
    <font>
      <sz val="13"/>
      <color indexed="53"/>
      <name val="Arial"/>
      <family val="0"/>
    </font>
    <font>
      <b/>
      <sz val="14"/>
      <color indexed="19"/>
      <name val="Arial"/>
      <family val="0"/>
    </font>
    <font>
      <b/>
      <sz val="16"/>
      <color indexed="61"/>
      <name val="Arial"/>
      <family val="0"/>
    </font>
    <font>
      <b/>
      <sz val="14"/>
      <color indexed="14"/>
      <name val="Arial"/>
      <family val="0"/>
    </font>
    <font>
      <sz val="11"/>
      <name val="Arial"/>
      <family val="0"/>
    </font>
    <font>
      <sz val="12"/>
      <name val="Gill Sans"/>
      <family val="0"/>
    </font>
    <font>
      <b/>
      <sz val="10"/>
      <name val="Gill Sans"/>
      <family val="0"/>
    </font>
    <font>
      <b/>
      <sz val="11"/>
      <name val="Arial"/>
      <family val="0"/>
    </font>
    <font>
      <b/>
      <sz val="11"/>
      <name val="Verdana"/>
      <family val="0"/>
    </font>
    <font>
      <sz val="9"/>
      <name val="Arial"/>
      <family val="0"/>
    </font>
    <font>
      <sz val="10"/>
      <color indexed="61"/>
      <name val="Arial"/>
      <family val="0"/>
    </font>
    <font>
      <sz val="14"/>
      <color indexed="17"/>
      <name val="Arial"/>
      <family val="0"/>
    </font>
    <font>
      <b/>
      <sz val="14"/>
      <color indexed="9"/>
      <name val="Arial"/>
      <family val="0"/>
    </font>
    <font>
      <b/>
      <sz val="14"/>
      <color indexed="44"/>
      <name val="Arial"/>
      <family val="0"/>
    </font>
    <font>
      <b/>
      <sz val="14"/>
      <color indexed="43"/>
      <name val="Arial"/>
      <family val="0"/>
    </font>
    <font>
      <b/>
      <sz val="14"/>
      <color indexed="42"/>
      <name val="Arial"/>
      <family val="0"/>
    </font>
    <font>
      <b/>
      <sz val="14"/>
      <color indexed="47"/>
      <name val="Arial"/>
      <family val="0"/>
    </font>
    <font>
      <b/>
      <sz val="14"/>
      <color indexed="11"/>
      <name val="Arial"/>
      <family val="0"/>
    </font>
    <font>
      <b/>
      <sz val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5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164" fontId="4" fillId="2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6" fontId="1" fillId="0" borderId="0" xfId="0" applyNumberFormat="1" applyFont="1" applyFill="1" applyAlignment="1">
      <alignment horizontal="left" indent="1"/>
    </xf>
    <xf numFmtId="164" fontId="1" fillId="0" borderId="0" xfId="0" applyNumberFormat="1" applyFont="1" applyFill="1" applyAlignment="1">
      <alignment horizontal="left" inden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3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 indent="1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0" fillId="3" borderId="0" xfId="0" applyNumberFormat="1" applyFill="1" applyAlignment="1">
      <alignment/>
    </xf>
    <xf numFmtId="10" fontId="1" fillId="3" borderId="0" xfId="0" applyNumberFormat="1" applyFont="1" applyFill="1" applyAlignment="1">
      <alignment/>
    </xf>
    <xf numFmtId="166" fontId="16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10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0" fontId="4" fillId="4" borderId="0" xfId="0" applyFont="1" applyFill="1" applyAlignment="1">
      <alignment horizontal="center"/>
    </xf>
    <xf numFmtId="3" fontId="4" fillId="4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/>
    </xf>
    <xf numFmtId="10" fontId="4" fillId="3" borderId="0" xfId="0" applyNumberFormat="1" applyFont="1" applyFill="1" applyAlignment="1">
      <alignment/>
    </xf>
    <xf numFmtId="164" fontId="22" fillId="3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1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6" fillId="0" borderId="0" xfId="0" applyNumberFormat="1" applyFont="1" applyAlignment="1">
      <alignment/>
    </xf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 applyAlignment="1">
      <alignment/>
    </xf>
    <xf numFmtId="164" fontId="13" fillId="0" borderId="0" xfId="0" applyNumberFormat="1" applyFont="1" applyFill="1" applyAlignment="1">
      <alignment/>
    </xf>
    <xf numFmtId="164" fontId="13" fillId="3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3" fontId="5" fillId="4" borderId="0" xfId="0" applyNumberFormat="1" applyFont="1" applyFill="1" applyAlignment="1">
      <alignment/>
    </xf>
    <xf numFmtId="3" fontId="17" fillId="3" borderId="0" xfId="0" applyNumberFormat="1" applyFont="1" applyFill="1" applyAlignment="1">
      <alignment/>
    </xf>
    <xf numFmtId="3" fontId="13" fillId="3" borderId="0" xfId="0" applyNumberFormat="1" applyFont="1" applyFill="1" applyAlignment="1">
      <alignment/>
    </xf>
    <xf numFmtId="10" fontId="15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9" fontId="16" fillId="0" borderId="0" xfId="0" applyNumberFormat="1" applyFont="1" applyFill="1" applyAlignment="1">
      <alignment horizontal="left" indent="1"/>
    </xf>
    <xf numFmtId="9" fontId="4" fillId="3" borderId="0" xfId="0" applyNumberFormat="1" applyFont="1" applyFill="1" applyAlignment="1">
      <alignment horizontal="left" indent="1"/>
    </xf>
    <xf numFmtId="170" fontId="4" fillId="0" borderId="0" xfId="0" applyNumberFormat="1" applyFont="1" applyFill="1" applyAlignment="1">
      <alignment horizontal="left" indent="1"/>
    </xf>
    <xf numFmtId="170" fontId="16" fillId="0" borderId="0" xfId="0" applyNumberFormat="1" applyFont="1" applyFill="1" applyAlignment="1">
      <alignment horizontal="left" indent="1"/>
    </xf>
    <xf numFmtId="170" fontId="4" fillId="3" borderId="0" xfId="0" applyNumberFormat="1" applyFont="1" applyFill="1" applyAlignment="1">
      <alignment horizontal="left" indent="1"/>
    </xf>
    <xf numFmtId="170" fontId="21" fillId="3" borderId="0" xfId="0" applyNumberFormat="1" applyFont="1" applyFill="1" applyAlignment="1">
      <alignment horizontal="left" indent="1"/>
    </xf>
    <xf numFmtId="164" fontId="1" fillId="0" borderId="0" xfId="0" applyNumberFormat="1" applyFont="1" applyAlignment="1">
      <alignment/>
    </xf>
    <xf numFmtId="164" fontId="4" fillId="3" borderId="0" xfId="0" applyNumberFormat="1" applyFont="1" applyFill="1" applyAlignment="1">
      <alignment/>
    </xf>
    <xf numFmtId="0" fontId="26" fillId="0" borderId="0" xfId="0" applyFont="1" applyAlignment="1">
      <alignment/>
    </xf>
    <xf numFmtId="164" fontId="27" fillId="5" borderId="1" xfId="0" applyNumberFormat="1" applyFont="1" applyFill="1" applyBorder="1" applyAlignment="1">
      <alignment horizontal="center" vertical="center" wrapText="1"/>
    </xf>
    <xf numFmtId="164" fontId="27" fillId="5" borderId="2" xfId="0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/>
    </xf>
    <xf numFmtId="164" fontId="27" fillId="6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64" fontId="28" fillId="5" borderId="2" xfId="0" applyNumberFormat="1" applyFont="1" applyFill="1" applyBorder="1" applyAlignment="1">
      <alignment horizontal="center"/>
    </xf>
    <xf numFmtId="164" fontId="27" fillId="2" borderId="2" xfId="0" applyNumberFormat="1" applyFont="1" applyFill="1" applyBorder="1" applyAlignment="1">
      <alignment horizontal="center" vertical="center"/>
    </xf>
    <xf numFmtId="164" fontId="11" fillId="7" borderId="0" xfId="0" applyNumberFormat="1" applyFont="1" applyFill="1" applyAlignment="1">
      <alignment/>
    </xf>
    <xf numFmtId="0" fontId="26" fillId="0" borderId="2" xfId="0" applyFont="1" applyBorder="1" applyAlignment="1">
      <alignment/>
    </xf>
    <xf numFmtId="0" fontId="26" fillId="0" borderId="1" xfId="0" applyFont="1" applyBorder="1" applyAlignment="1">
      <alignment/>
    </xf>
    <xf numFmtId="0" fontId="28" fillId="0" borderId="2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71" fontId="6" fillId="8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0" fontId="27" fillId="0" borderId="2" xfId="0" applyFont="1" applyBorder="1" applyAlignment="1">
      <alignment horizontal="center" vertical="center"/>
    </xf>
    <xf numFmtId="166" fontId="28" fillId="0" borderId="0" xfId="0" applyNumberFormat="1" applyFont="1" applyAlignment="1">
      <alignment horizontal="center"/>
    </xf>
    <xf numFmtId="170" fontId="6" fillId="0" borderId="0" xfId="0" applyNumberFormat="1" applyFont="1" applyFill="1" applyAlignment="1">
      <alignment horizontal="center"/>
    </xf>
    <xf numFmtId="0" fontId="27" fillId="0" borderId="1" xfId="0" applyFont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3" xfId="0" applyFont="1" applyBorder="1" applyAlignment="1">
      <alignment/>
    </xf>
    <xf numFmtId="3" fontId="29" fillId="0" borderId="3" xfId="0" applyNumberFormat="1" applyFont="1" applyBorder="1" applyAlignment="1">
      <alignment/>
    </xf>
    <xf numFmtId="164" fontId="29" fillId="0" borderId="3" xfId="0" applyNumberFormat="1" applyFont="1" applyBorder="1" applyAlignment="1">
      <alignment horizontal="center"/>
    </xf>
    <xf numFmtId="164" fontId="29" fillId="0" borderId="4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0" fontId="29" fillId="0" borderId="3" xfId="0" applyFont="1" applyFill="1" applyBorder="1" applyAlignment="1">
      <alignment horizontal="center"/>
    </xf>
    <xf numFmtId="0" fontId="29" fillId="0" borderId="3" xfId="0" applyFont="1" applyFill="1" applyBorder="1" applyAlignment="1">
      <alignment/>
    </xf>
    <xf numFmtId="0" fontId="29" fillId="9" borderId="2" xfId="0" applyFont="1" applyFill="1" applyBorder="1" applyAlignment="1">
      <alignment horizontal="left"/>
    </xf>
    <xf numFmtId="0" fontId="29" fillId="9" borderId="2" xfId="0" applyFont="1" applyFill="1" applyBorder="1" applyAlignment="1">
      <alignment horizontal="center"/>
    </xf>
    <xf numFmtId="0" fontId="29" fillId="9" borderId="1" xfId="0" applyFont="1" applyFill="1" applyBorder="1" applyAlignment="1">
      <alignment/>
    </xf>
    <xf numFmtId="3" fontId="29" fillId="9" borderId="2" xfId="0" applyNumberFormat="1" applyFont="1" applyFill="1" applyBorder="1" applyAlignment="1">
      <alignment/>
    </xf>
    <xf numFmtId="164" fontId="29" fillId="9" borderId="1" xfId="0" applyNumberFormat="1" applyFont="1" applyFill="1" applyBorder="1" applyAlignment="1">
      <alignment horizontal="center"/>
    </xf>
    <xf numFmtId="164" fontId="29" fillId="9" borderId="2" xfId="0" applyNumberFormat="1" applyFont="1" applyFill="1" applyBorder="1" applyAlignment="1">
      <alignment horizontal="center"/>
    </xf>
    <xf numFmtId="164" fontId="29" fillId="9" borderId="4" xfId="0" applyNumberFormat="1" applyFont="1" applyFill="1" applyBorder="1" applyAlignment="1">
      <alignment horizontal="center"/>
    </xf>
    <xf numFmtId="0" fontId="28" fillId="9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3" fontId="11" fillId="9" borderId="0" xfId="0" applyNumberFormat="1" applyFont="1" applyFill="1" applyAlignment="1">
      <alignment horizontal="center"/>
    </xf>
    <xf numFmtId="171" fontId="11" fillId="9" borderId="0" xfId="0" applyNumberFormat="1" applyFont="1" applyFill="1" applyAlignment="1">
      <alignment horizontal="center"/>
    </xf>
    <xf numFmtId="164" fontId="11" fillId="9" borderId="0" xfId="0" applyNumberFormat="1" applyFont="1" applyFill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" xfId="0" applyFont="1" applyBorder="1" applyAlignment="1">
      <alignment/>
    </xf>
    <xf numFmtId="3" fontId="29" fillId="0" borderId="2" xfId="0" applyNumberFormat="1" applyFont="1" applyBorder="1" applyAlignment="1">
      <alignment/>
    </xf>
    <xf numFmtId="164" fontId="29" fillId="0" borderId="1" xfId="0" applyNumberFormat="1" applyFont="1" applyBorder="1" applyAlignment="1">
      <alignment horizontal="center"/>
    </xf>
    <xf numFmtId="164" fontId="29" fillId="0" borderId="2" xfId="0" applyNumberFormat="1" applyFont="1" applyBorder="1" applyAlignment="1">
      <alignment horizontal="center"/>
    </xf>
    <xf numFmtId="164" fontId="29" fillId="9" borderId="3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0" fontId="11" fillId="9" borderId="0" xfId="0" applyFont="1" applyFill="1" applyAlignment="1">
      <alignment horizontal="center"/>
    </xf>
    <xf numFmtId="164" fontId="6" fillId="9" borderId="0" xfId="0" applyNumberFormat="1" applyFont="1" applyFill="1" applyAlignment="1">
      <alignment/>
    </xf>
    <xf numFmtId="166" fontId="6" fillId="9" borderId="0" xfId="0" applyNumberFormat="1" applyFont="1" applyFill="1" applyAlignment="1">
      <alignment/>
    </xf>
    <xf numFmtId="0" fontId="29" fillId="10" borderId="2" xfId="0" applyFont="1" applyFill="1" applyBorder="1" applyAlignment="1">
      <alignment horizontal="center"/>
    </xf>
    <xf numFmtId="0" fontId="29" fillId="10" borderId="1" xfId="0" applyFont="1" applyFill="1" applyBorder="1" applyAlignment="1">
      <alignment/>
    </xf>
    <xf numFmtId="3" fontId="29" fillId="10" borderId="2" xfId="0" applyNumberFormat="1" applyFont="1" applyFill="1" applyBorder="1" applyAlignment="1">
      <alignment/>
    </xf>
    <xf numFmtId="164" fontId="29" fillId="10" borderId="1" xfId="0" applyNumberFormat="1" applyFont="1" applyFill="1" applyBorder="1" applyAlignment="1">
      <alignment horizontal="center"/>
    </xf>
    <xf numFmtId="164" fontId="29" fillId="10" borderId="2" xfId="0" applyNumberFormat="1" applyFont="1" applyFill="1" applyBorder="1" applyAlignment="1">
      <alignment horizontal="center"/>
    </xf>
    <xf numFmtId="164" fontId="29" fillId="10" borderId="4" xfId="0" applyNumberFormat="1" applyFont="1" applyFill="1" applyBorder="1" applyAlignment="1">
      <alignment horizontal="center"/>
    </xf>
    <xf numFmtId="3" fontId="29" fillId="0" borderId="2" xfId="0" applyNumberFormat="1" applyFont="1" applyFill="1" applyBorder="1" applyAlignment="1">
      <alignment/>
    </xf>
    <xf numFmtId="0" fontId="29" fillId="0" borderId="2" xfId="0" applyFont="1" applyFill="1" applyBorder="1" applyAlignment="1">
      <alignment horizontal="center"/>
    </xf>
    <xf numFmtId="0" fontId="29" fillId="11" borderId="2" xfId="0" applyFont="1" applyFill="1" applyBorder="1" applyAlignment="1">
      <alignment horizontal="left"/>
    </xf>
    <xf numFmtId="0" fontId="29" fillId="11" borderId="2" xfId="0" applyFont="1" applyFill="1" applyBorder="1" applyAlignment="1">
      <alignment horizontal="center"/>
    </xf>
    <xf numFmtId="0" fontId="29" fillId="11" borderId="1" xfId="0" applyFont="1" applyFill="1" applyBorder="1" applyAlignment="1">
      <alignment/>
    </xf>
    <xf numFmtId="3" fontId="29" fillId="11" borderId="2" xfId="0" applyNumberFormat="1" applyFont="1" applyFill="1" applyBorder="1" applyAlignment="1">
      <alignment/>
    </xf>
    <xf numFmtId="164" fontId="29" fillId="11" borderId="1" xfId="0" applyNumberFormat="1" applyFont="1" applyFill="1" applyBorder="1" applyAlignment="1">
      <alignment horizontal="center"/>
    </xf>
    <xf numFmtId="164" fontId="29" fillId="11" borderId="2" xfId="0" applyNumberFormat="1" applyFont="1" applyFill="1" applyBorder="1" applyAlignment="1">
      <alignment horizontal="center"/>
    </xf>
    <xf numFmtId="164" fontId="29" fillId="11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29" fillId="0" borderId="1" xfId="0" applyFont="1" applyFill="1" applyBorder="1" applyAlignment="1">
      <alignment/>
    </xf>
    <xf numFmtId="164" fontId="29" fillId="0" borderId="2" xfId="0" applyNumberFormat="1" applyFont="1" applyFill="1" applyBorder="1" applyAlignment="1">
      <alignment horizontal="center"/>
    </xf>
    <xf numFmtId="164" fontId="29" fillId="0" borderId="4" xfId="0" applyNumberFormat="1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171" fontId="6" fillId="9" borderId="0" xfId="0" applyNumberFormat="1" applyFont="1" applyFill="1" applyAlignment="1">
      <alignment horizontal="center"/>
    </xf>
    <xf numFmtId="0" fontId="26" fillId="11" borderId="0" xfId="0" applyFont="1" applyFill="1" applyAlignment="1">
      <alignment horizontal="center"/>
    </xf>
    <xf numFmtId="0" fontId="28" fillId="11" borderId="0" xfId="0" applyFont="1" applyFill="1" applyAlignment="1">
      <alignment horizontal="center"/>
    </xf>
    <xf numFmtId="3" fontId="11" fillId="11" borderId="0" xfId="0" applyNumberFormat="1" applyFont="1" applyFill="1" applyAlignment="1">
      <alignment horizontal="center"/>
    </xf>
    <xf numFmtId="0" fontId="11" fillId="11" borderId="0" xfId="0" applyFont="1" applyFill="1" applyAlignment="1">
      <alignment/>
    </xf>
    <xf numFmtId="171" fontId="11" fillId="11" borderId="0" xfId="0" applyNumberFormat="1" applyFont="1" applyFill="1" applyAlignment="1">
      <alignment horizontal="center"/>
    </xf>
    <xf numFmtId="166" fontId="6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3" fontId="27" fillId="0" borderId="2" xfId="0" applyNumberFormat="1" applyFont="1" applyFill="1" applyBorder="1" applyAlignment="1">
      <alignment/>
    </xf>
    <xf numFmtId="0" fontId="0" fillId="12" borderId="0" xfId="0" applyFill="1" applyAlignment="1">
      <alignment/>
    </xf>
    <xf numFmtId="164" fontId="29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0" fillId="13" borderId="0" xfId="0" applyFill="1" applyAlignment="1">
      <alignment/>
    </xf>
    <xf numFmtId="0" fontId="29" fillId="13" borderId="2" xfId="0" applyFont="1" applyFill="1" applyBorder="1" applyAlignment="1">
      <alignment horizontal="center"/>
    </xf>
    <xf numFmtId="0" fontId="29" fillId="13" borderId="1" xfId="0" applyFont="1" applyFill="1" applyBorder="1" applyAlignment="1">
      <alignment/>
    </xf>
    <xf numFmtId="0" fontId="28" fillId="13" borderId="0" xfId="0" applyFont="1" applyFill="1" applyAlignment="1">
      <alignment horizontal="center"/>
    </xf>
    <xf numFmtId="0" fontId="26" fillId="13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164" fontId="11" fillId="13" borderId="0" xfId="0" applyNumberFormat="1" applyFont="1" applyFill="1" applyAlignment="1">
      <alignment horizontal="center"/>
    </xf>
    <xf numFmtId="166" fontId="6" fillId="13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/>
    </xf>
    <xf numFmtId="0" fontId="29" fillId="12" borderId="2" xfId="0" applyFont="1" applyFill="1" applyBorder="1" applyAlignment="1">
      <alignment horizontal="center"/>
    </xf>
    <xf numFmtId="0" fontId="29" fillId="12" borderId="1" xfId="0" applyFont="1" applyFill="1" applyBorder="1" applyAlignment="1">
      <alignment/>
    </xf>
    <xf numFmtId="3" fontId="29" fillId="12" borderId="2" xfId="0" applyNumberFormat="1" applyFont="1" applyFill="1" applyBorder="1" applyAlignment="1">
      <alignment/>
    </xf>
    <xf numFmtId="0" fontId="29" fillId="12" borderId="1" xfId="0" applyFont="1" applyFill="1" applyBorder="1" applyAlignment="1">
      <alignment horizontal="center"/>
    </xf>
    <xf numFmtId="164" fontId="29" fillId="12" borderId="0" xfId="0" applyNumberFormat="1" applyFont="1" applyFill="1" applyBorder="1" applyAlignment="1">
      <alignment horizontal="center"/>
    </xf>
    <xf numFmtId="164" fontId="29" fillId="12" borderId="0" xfId="0" applyNumberFormat="1" applyFont="1" applyFill="1" applyBorder="1" applyAlignment="1">
      <alignment horizontal="left"/>
    </xf>
    <xf numFmtId="171" fontId="11" fillId="12" borderId="0" xfId="0" applyNumberFormat="1" applyFont="1" applyFill="1" applyAlignment="1">
      <alignment horizontal="center"/>
    </xf>
    <xf numFmtId="0" fontId="28" fillId="12" borderId="0" xfId="0" applyFont="1" applyFill="1" applyAlignment="1">
      <alignment horizontal="center"/>
    </xf>
    <xf numFmtId="0" fontId="26" fillId="12" borderId="0" xfId="0" applyFont="1" applyFill="1" applyAlignment="1">
      <alignment horizontal="center"/>
    </xf>
    <xf numFmtId="3" fontId="11" fillId="12" borderId="0" xfId="0" applyNumberFormat="1" applyFont="1" applyFill="1" applyAlignment="1">
      <alignment horizontal="center"/>
    </xf>
    <xf numFmtId="164" fontId="11" fillId="12" borderId="0" xfId="0" applyNumberFormat="1" applyFont="1" applyFill="1" applyAlignment="1">
      <alignment horizontal="center"/>
    </xf>
    <xf numFmtId="166" fontId="6" fillId="12" borderId="0" xfId="0" applyNumberFormat="1" applyFont="1" applyFill="1" applyAlignment="1">
      <alignment/>
    </xf>
    <xf numFmtId="164" fontId="26" fillId="0" borderId="0" xfId="0" applyNumberFormat="1" applyFont="1" applyBorder="1" applyAlignment="1">
      <alignment/>
    </xf>
    <xf numFmtId="164" fontId="26" fillId="12" borderId="0" xfId="0" applyNumberFormat="1" applyFont="1" applyFill="1" applyAlignment="1">
      <alignment/>
    </xf>
    <xf numFmtId="164" fontId="0" fillId="12" borderId="0" xfId="0" applyNumberFormat="1" applyFill="1" applyAlignment="1">
      <alignment/>
    </xf>
    <xf numFmtId="0" fontId="29" fillId="0" borderId="1" xfId="0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Alignment="1">
      <alignment/>
    </xf>
    <xf numFmtId="164" fontId="29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7" fillId="4" borderId="0" xfId="0" applyFont="1" applyFill="1" applyBorder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9" fillId="4" borderId="0" xfId="0" applyFont="1" applyFill="1" applyBorder="1" applyAlignment="1">
      <alignment/>
    </xf>
    <xf numFmtId="0" fontId="29" fillId="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9" fillId="4" borderId="2" xfId="0" applyFont="1" applyFill="1" applyBorder="1" applyAlignment="1">
      <alignment horizontal="center"/>
    </xf>
    <xf numFmtId="0" fontId="29" fillId="4" borderId="1" xfId="0" applyFont="1" applyFill="1" applyBorder="1" applyAlignment="1">
      <alignment/>
    </xf>
    <xf numFmtId="3" fontId="27" fillId="4" borderId="2" xfId="0" applyNumberFormat="1" applyFont="1" applyFill="1" applyBorder="1" applyAlignment="1">
      <alignment/>
    </xf>
    <xf numFmtId="0" fontId="29" fillId="4" borderId="1" xfId="0" applyFont="1" applyFill="1" applyBorder="1" applyAlignment="1">
      <alignment horizontal="center"/>
    </xf>
    <xf numFmtId="164" fontId="29" fillId="4" borderId="0" xfId="0" applyNumberFormat="1" applyFont="1" applyFill="1" applyBorder="1" applyAlignment="1">
      <alignment horizontal="center"/>
    </xf>
    <xf numFmtId="164" fontId="26" fillId="4" borderId="0" xfId="0" applyNumberFormat="1" applyFont="1" applyFill="1" applyAlignment="1">
      <alignment/>
    </xf>
    <xf numFmtId="164" fontId="29" fillId="4" borderId="0" xfId="0" applyNumberFormat="1" applyFont="1" applyFill="1" applyBorder="1" applyAlignment="1">
      <alignment horizontal="left"/>
    </xf>
    <xf numFmtId="0" fontId="26" fillId="4" borderId="0" xfId="0" applyFont="1" applyFill="1" applyBorder="1" applyAlignment="1">
      <alignment/>
    </xf>
    <xf numFmtId="166" fontId="2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NumberFormat="1" applyFont="1" applyFill="1" applyAlignment="1">
      <alignment horizontal="center"/>
    </xf>
    <xf numFmtId="171" fontId="6" fillId="4" borderId="0" xfId="0" applyNumberFormat="1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/>
    </xf>
    <xf numFmtId="3" fontId="29" fillId="4" borderId="0" xfId="0" applyNumberFormat="1" applyFont="1" applyFill="1" applyBorder="1" applyAlignment="1">
      <alignment/>
    </xf>
    <xf numFmtId="0" fontId="26" fillId="4" borderId="0" xfId="0" applyFont="1" applyFill="1" applyAlignment="1">
      <alignment/>
    </xf>
    <xf numFmtId="3" fontId="27" fillId="4" borderId="0" xfId="0" applyNumberFormat="1" applyFont="1" applyFill="1" applyBorder="1" applyAlignment="1">
      <alignment/>
    </xf>
    <xf numFmtId="164" fontId="26" fillId="4" borderId="0" xfId="0" applyNumberFormat="1" applyFont="1" applyFill="1" applyBorder="1" applyAlignment="1">
      <alignment/>
    </xf>
    <xf numFmtId="164" fontId="6" fillId="4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Border="1" applyAlignment="1">
      <alignment horizontal="center"/>
    </xf>
    <xf numFmtId="3" fontId="29" fillId="4" borderId="2" xfId="0" applyNumberFormat="1" applyFont="1" applyFill="1" applyBorder="1" applyAlignment="1">
      <alignment/>
    </xf>
    <xf numFmtId="0" fontId="28" fillId="4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171" fontId="11" fillId="4" borderId="0" xfId="0" applyNumberFormat="1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164" fontId="0" fillId="4" borderId="0" xfId="0" applyNumberFormat="1" applyFill="1" applyAlignment="1">
      <alignment/>
    </xf>
    <xf numFmtId="3" fontId="0" fillId="4" borderId="0" xfId="0" applyNumberFormat="1" applyFont="1" applyFill="1" applyAlignment="1">
      <alignment horizontal="center"/>
    </xf>
    <xf numFmtId="171" fontId="0" fillId="4" borderId="0" xfId="0" applyNumberFormat="1" applyFont="1" applyFill="1" applyAlignment="1">
      <alignment horizontal="center"/>
    </xf>
    <xf numFmtId="164" fontId="29" fillId="4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29" fillId="5" borderId="2" xfId="0" applyFont="1" applyFill="1" applyBorder="1" applyAlignment="1">
      <alignment horizontal="center"/>
    </xf>
    <xf numFmtId="0" fontId="29" fillId="5" borderId="1" xfId="0" applyFont="1" applyFill="1" applyBorder="1" applyAlignment="1">
      <alignment/>
    </xf>
    <xf numFmtId="3" fontId="29" fillId="5" borderId="2" xfId="0" applyNumberFormat="1" applyFont="1" applyFill="1" applyBorder="1" applyAlignment="1">
      <alignment/>
    </xf>
    <xf numFmtId="0" fontId="29" fillId="5" borderId="1" xfId="0" applyFont="1" applyFill="1" applyBorder="1" applyAlignment="1">
      <alignment horizontal="center"/>
    </xf>
    <xf numFmtId="164" fontId="29" fillId="5" borderId="0" xfId="0" applyNumberFormat="1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171" fontId="11" fillId="5" borderId="0" xfId="0" applyNumberFormat="1" applyFont="1" applyFill="1" applyAlignment="1">
      <alignment horizontal="center"/>
    </xf>
    <xf numFmtId="164" fontId="11" fillId="5" borderId="0" xfId="0" applyNumberFormat="1" applyFont="1" applyFill="1" applyAlignment="1">
      <alignment horizontal="center"/>
    </xf>
    <xf numFmtId="166" fontId="6" fillId="5" borderId="0" xfId="0" applyNumberFormat="1" applyFont="1" applyFill="1" applyAlignment="1">
      <alignment/>
    </xf>
    <xf numFmtId="0" fontId="28" fillId="10" borderId="0" xfId="0" applyFont="1" applyFill="1" applyAlignment="1">
      <alignment horizontal="center"/>
    </xf>
    <xf numFmtId="3" fontId="11" fillId="10" borderId="0" xfId="0" applyNumberFormat="1" applyFont="1" applyFill="1" applyAlignment="1">
      <alignment horizontal="center"/>
    </xf>
    <xf numFmtId="0" fontId="11" fillId="10" borderId="0" xfId="0" applyFont="1" applyFill="1" applyAlignment="1">
      <alignment/>
    </xf>
    <xf numFmtId="171" fontId="11" fillId="10" borderId="0" xfId="0" applyNumberFormat="1" applyFont="1" applyFill="1" applyAlignment="1">
      <alignment horizontal="center"/>
    </xf>
    <xf numFmtId="166" fontId="6" fillId="10" borderId="0" xfId="0" applyNumberFormat="1" applyFont="1" applyFill="1" applyAlignment="1">
      <alignment/>
    </xf>
    <xf numFmtId="164" fontId="29" fillId="10" borderId="3" xfId="0" applyNumberFormat="1" applyFont="1" applyFill="1" applyBorder="1" applyAlignment="1">
      <alignment horizontal="center"/>
    </xf>
    <xf numFmtId="2" fontId="28" fillId="9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11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26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center"/>
    </xf>
    <xf numFmtId="3" fontId="26" fillId="9" borderId="0" xfId="0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6" fillId="10" borderId="0" xfId="0" applyNumberFormat="1" applyFont="1" applyFill="1" applyAlignment="1">
      <alignment/>
    </xf>
    <xf numFmtId="3" fontId="26" fillId="12" borderId="0" xfId="0" applyNumberFormat="1" applyFont="1" applyFill="1" applyAlignment="1">
      <alignment/>
    </xf>
    <xf numFmtId="3" fontId="6" fillId="4" borderId="0" xfId="0" applyNumberFormat="1" applyFont="1" applyFill="1" applyAlignment="1">
      <alignment horizontal="center"/>
    </xf>
    <xf numFmtId="3" fontId="11" fillId="4" borderId="0" xfId="0" applyNumberFormat="1" applyFont="1" applyFill="1" applyAlignment="1">
      <alignment horizontal="center"/>
    </xf>
    <xf numFmtId="3" fontId="26" fillId="4" borderId="0" xfId="0" applyNumberFormat="1" applyFont="1" applyFill="1" applyAlignment="1">
      <alignment horizontal="center"/>
    </xf>
    <xf numFmtId="3" fontId="27" fillId="4" borderId="2" xfId="0" applyNumberFormat="1" applyFont="1" applyFill="1" applyBorder="1" applyAlignment="1">
      <alignment horizontal="center"/>
    </xf>
    <xf numFmtId="3" fontId="26" fillId="4" borderId="0" xfId="0" applyNumberFormat="1" applyFont="1" applyFill="1" applyAlignment="1">
      <alignment/>
    </xf>
    <xf numFmtId="3" fontId="0" fillId="4" borderId="0" xfId="0" applyNumberFormat="1" applyFill="1" applyAlignment="1">
      <alignment/>
    </xf>
    <xf numFmtId="3" fontId="28" fillId="4" borderId="0" xfId="0" applyNumberFormat="1" applyFont="1" applyFill="1" applyAlignment="1">
      <alignment/>
    </xf>
    <xf numFmtId="3" fontId="27" fillId="5" borderId="2" xfId="0" applyNumberFormat="1" applyFont="1" applyFill="1" applyBorder="1" applyAlignment="1">
      <alignment horizontal="center"/>
    </xf>
    <xf numFmtId="3" fontId="26" fillId="9" borderId="2" xfId="0" applyNumberFormat="1" applyFont="1" applyFill="1" applyBorder="1" applyAlignment="1">
      <alignment/>
    </xf>
    <xf numFmtId="3" fontId="29" fillId="13" borderId="2" xfId="0" applyNumberFormat="1" applyFont="1" applyFill="1" applyBorder="1" applyAlignment="1">
      <alignment/>
    </xf>
    <xf numFmtId="164" fontId="29" fillId="13" borderId="1" xfId="0" applyNumberFormat="1" applyFont="1" applyFill="1" applyBorder="1" applyAlignment="1">
      <alignment horizontal="center"/>
    </xf>
    <xf numFmtId="164" fontId="29" fillId="13" borderId="2" xfId="0" applyNumberFormat="1" applyFont="1" applyFill="1" applyBorder="1" applyAlignment="1">
      <alignment horizontal="center"/>
    </xf>
    <xf numFmtId="164" fontId="29" fillId="13" borderId="4" xfId="0" applyNumberFormat="1" applyFont="1" applyFill="1" applyBorder="1" applyAlignment="1">
      <alignment horizontal="center"/>
    </xf>
    <xf numFmtId="3" fontId="26" fillId="13" borderId="0" xfId="0" applyNumberFormat="1" applyFont="1" applyFill="1" applyAlignment="1">
      <alignment/>
    </xf>
    <xf numFmtId="3" fontId="11" fillId="13" borderId="0" xfId="0" applyNumberFormat="1" applyFont="1" applyFill="1" applyAlignment="1">
      <alignment horizontal="center"/>
    </xf>
    <xf numFmtId="171" fontId="11" fillId="13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1" fillId="9" borderId="0" xfId="0" applyNumberFormat="1" applyFont="1" applyFill="1" applyAlignment="1">
      <alignment/>
    </xf>
    <xf numFmtId="164" fontId="11" fillId="11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164" fontId="11" fillId="13" borderId="0" xfId="0" applyNumberFormat="1" applyFont="1" applyFill="1" applyAlignment="1">
      <alignment/>
    </xf>
    <xf numFmtId="164" fontId="11" fillId="10" borderId="0" xfId="0" applyNumberFormat="1" applyFont="1" applyFill="1" applyAlignment="1">
      <alignment/>
    </xf>
    <xf numFmtId="164" fontId="11" fillId="12" borderId="0" xfId="0" applyNumberFormat="1" applyFont="1" applyFill="1" applyAlignment="1">
      <alignment/>
    </xf>
    <xf numFmtId="164" fontId="11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64" fontId="11" fillId="5" borderId="0" xfId="0" applyNumberFormat="1" applyFont="1" applyFill="1" applyAlignment="1">
      <alignment/>
    </xf>
    <xf numFmtId="166" fontId="28" fillId="0" borderId="0" xfId="0" applyNumberFormat="1" applyFont="1" applyAlignment="1">
      <alignment/>
    </xf>
    <xf numFmtId="166" fontId="28" fillId="0" borderId="0" xfId="0" applyNumberFormat="1" applyFont="1" applyFill="1" applyAlignment="1">
      <alignment/>
    </xf>
    <xf numFmtId="166" fontId="28" fillId="12" borderId="0" xfId="0" applyNumberFormat="1" applyFont="1" applyFill="1" applyBorder="1" applyAlignment="1">
      <alignment/>
    </xf>
    <xf numFmtId="166" fontId="28" fillId="12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66" fontId="28" fillId="4" borderId="0" xfId="0" applyNumberFormat="1" applyFont="1" applyFill="1" applyAlignment="1">
      <alignment/>
    </xf>
    <xf numFmtId="0" fontId="28" fillId="4" borderId="0" xfId="0" applyFont="1" applyFill="1" applyAlignment="1">
      <alignment/>
    </xf>
    <xf numFmtId="166" fontId="28" fillId="4" borderId="0" xfId="0" applyNumberFormat="1" applyFont="1" applyFill="1" applyBorder="1" applyAlignment="1">
      <alignment/>
    </xf>
    <xf numFmtId="166" fontId="28" fillId="5" borderId="0" xfId="0" applyNumberFormat="1" applyFont="1" applyFill="1" applyAlignment="1">
      <alignment/>
    </xf>
    <xf numFmtId="164" fontId="6" fillId="13" borderId="0" xfId="0" applyNumberFormat="1" applyFont="1" applyFill="1" applyAlignment="1">
      <alignment horizontal="center"/>
    </xf>
    <xf numFmtId="164" fontId="2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/>
    </xf>
    <xf numFmtId="166" fontId="26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/>
    </xf>
    <xf numFmtId="166" fontId="26" fillId="0" borderId="0" xfId="0" applyNumberFormat="1" applyFont="1" applyAlignment="1">
      <alignment/>
    </xf>
    <xf numFmtId="166" fontId="26" fillId="0" borderId="4" xfId="0" applyNumberFormat="1" applyFont="1" applyBorder="1" applyAlignment="1">
      <alignment/>
    </xf>
    <xf numFmtId="166" fontId="26" fillId="0" borderId="4" xfId="0" applyNumberFormat="1" applyFont="1" applyFill="1" applyBorder="1" applyAlignment="1">
      <alignment/>
    </xf>
    <xf numFmtId="166" fontId="11" fillId="12" borderId="0" xfId="0" applyNumberFormat="1" applyFont="1" applyFill="1" applyAlignment="1">
      <alignment horizontal="center"/>
    </xf>
    <xf numFmtId="166" fontId="26" fillId="0" borderId="0" xfId="0" applyNumberFormat="1" applyFont="1" applyBorder="1" applyAlignment="1">
      <alignment/>
    </xf>
    <xf numFmtId="166" fontId="26" fillId="12" borderId="0" xfId="0" applyNumberFormat="1" applyFont="1" applyFill="1" applyBorder="1" applyAlignment="1">
      <alignment/>
    </xf>
    <xf numFmtId="166" fontId="26" fillId="0" borderId="0" xfId="0" applyNumberFormat="1" applyFont="1" applyFill="1" applyBorder="1" applyAlignment="1">
      <alignment/>
    </xf>
    <xf numFmtId="166" fontId="26" fillId="0" borderId="0" xfId="0" applyNumberFormat="1" applyFont="1" applyFill="1" applyAlignment="1">
      <alignment/>
    </xf>
    <xf numFmtId="166" fontId="26" fillId="4" borderId="0" xfId="0" applyNumberFormat="1" applyFont="1" applyFill="1" applyBorder="1" applyAlignment="1">
      <alignment horizontal="right"/>
    </xf>
    <xf numFmtId="166" fontId="26" fillId="4" borderId="0" xfId="0" applyNumberFormat="1" applyFont="1" applyFill="1" applyBorder="1" applyAlignment="1">
      <alignment horizontal="left"/>
    </xf>
    <xf numFmtId="166" fontId="26" fillId="4" borderId="0" xfId="0" applyNumberFormat="1" applyFont="1" applyFill="1" applyBorder="1" applyAlignment="1">
      <alignment/>
    </xf>
    <xf numFmtId="166" fontId="26" fillId="4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4" borderId="0" xfId="0" applyNumberFormat="1" applyFill="1" applyAlignment="1">
      <alignment/>
    </xf>
    <xf numFmtId="166" fontId="26" fillId="5" borderId="0" xfId="0" applyNumberFormat="1" applyFont="1" applyFill="1" applyBorder="1" applyAlignment="1">
      <alignment/>
    </xf>
    <xf numFmtId="3" fontId="32" fillId="0" borderId="0" xfId="0" applyNumberFormat="1" applyFont="1" applyFill="1" applyAlignment="1">
      <alignment horizontal="center"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3" fontId="4" fillId="3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/>
    </xf>
    <xf numFmtId="0" fontId="5" fillId="5" borderId="0" xfId="0" applyFont="1" applyFill="1" applyAlignment="1">
      <alignment horizontal="left"/>
    </xf>
    <xf numFmtId="3" fontId="4" fillId="5" borderId="0" xfId="0" applyNumberFormat="1" applyFont="1" applyFill="1" applyAlignment="1">
      <alignment horizontal="center"/>
    </xf>
    <xf numFmtId="3" fontId="4" fillId="5" borderId="0" xfId="0" applyNumberFormat="1" applyFont="1" applyFill="1" applyAlignment="1">
      <alignment horizontal="left"/>
    </xf>
    <xf numFmtId="0" fontId="4" fillId="5" borderId="0" xfId="0" applyFont="1" applyFill="1" applyAlignment="1">
      <alignment horizontal="center"/>
    </xf>
    <xf numFmtId="164" fontId="2" fillId="5" borderId="0" xfId="0" applyNumberFormat="1" applyFont="1" applyFill="1" applyAlignment="1">
      <alignment/>
    </xf>
    <xf numFmtId="164" fontId="4" fillId="5" borderId="0" xfId="0" applyNumberFormat="1" applyFont="1" applyFill="1" applyAlignment="1">
      <alignment/>
    </xf>
    <xf numFmtId="164" fontId="17" fillId="5" borderId="0" xfId="0" applyNumberFormat="1" applyFont="1" applyFill="1" applyAlignment="1">
      <alignment/>
    </xf>
    <xf numFmtId="166" fontId="5" fillId="5" borderId="0" xfId="0" applyNumberFormat="1" applyFont="1" applyFill="1" applyAlignment="1">
      <alignment/>
    </xf>
    <xf numFmtId="170" fontId="4" fillId="5" borderId="0" xfId="0" applyNumberFormat="1" applyFont="1" applyFill="1" applyAlignment="1">
      <alignment horizontal="left" indent="1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left"/>
    </xf>
    <xf numFmtId="10" fontId="4" fillId="5" borderId="0" xfId="0" applyNumberFormat="1" applyFont="1" applyFill="1" applyAlignment="1">
      <alignment/>
    </xf>
    <xf numFmtId="164" fontId="0" fillId="5" borderId="0" xfId="0" applyNumberFormat="1" applyFont="1" applyFill="1" applyAlignment="1">
      <alignment/>
    </xf>
    <xf numFmtId="10" fontId="1" fillId="5" borderId="0" xfId="0" applyNumberFormat="1" applyFont="1" applyFill="1" applyAlignment="1">
      <alignment/>
    </xf>
    <xf numFmtId="0" fontId="34" fillId="3" borderId="0" xfId="0" applyFont="1" applyFill="1" applyAlignment="1">
      <alignment horizontal="left"/>
    </xf>
    <xf numFmtId="0" fontId="35" fillId="3" borderId="0" xfId="0" applyFont="1" applyFill="1" applyAlignment="1">
      <alignment horizontal="center"/>
    </xf>
    <xf numFmtId="3" fontId="35" fillId="3" borderId="0" xfId="0" applyNumberFormat="1" applyFont="1" applyFill="1" applyAlignment="1">
      <alignment horizontal="left"/>
    </xf>
    <xf numFmtId="3" fontId="35" fillId="3" borderId="0" xfId="0" applyNumberFormat="1" applyFont="1" applyFill="1" applyAlignment="1">
      <alignment horizontal="center"/>
    </xf>
    <xf numFmtId="164" fontId="36" fillId="3" borderId="0" xfId="0" applyNumberFormat="1" applyFont="1" applyFill="1" applyAlignment="1">
      <alignment/>
    </xf>
    <xf numFmtId="166" fontId="34" fillId="3" borderId="0" xfId="0" applyNumberFormat="1" applyFont="1" applyFill="1" applyAlignment="1">
      <alignment/>
    </xf>
    <xf numFmtId="164" fontId="37" fillId="3" borderId="0" xfId="0" applyNumberFormat="1" applyFont="1" applyFill="1" applyAlignment="1">
      <alignment/>
    </xf>
    <xf numFmtId="170" fontId="35" fillId="3" borderId="0" xfId="0" applyNumberFormat="1" applyFont="1" applyFill="1" applyAlignment="1">
      <alignment horizontal="left" indent="1"/>
    </xf>
    <xf numFmtId="10" fontId="38" fillId="3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164" fontId="2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3" fontId="39" fillId="3" borderId="0" xfId="0" applyNumberFormat="1" applyFont="1" applyFill="1" applyAlignment="1">
      <alignment/>
    </xf>
    <xf numFmtId="166" fontId="6" fillId="0" borderId="0" xfId="0" applyNumberFormat="1" applyFont="1" applyFill="1" applyAlignment="1">
      <alignment horizontal="center"/>
    </xf>
    <xf numFmtId="166" fontId="11" fillId="9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11" fillId="11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166" fontId="11" fillId="10" borderId="0" xfId="0" applyNumberFormat="1" applyFont="1" applyFill="1" applyAlignment="1">
      <alignment/>
    </xf>
    <xf numFmtId="166" fontId="11" fillId="13" borderId="0" xfId="0" applyNumberFormat="1" applyFont="1" applyFill="1" applyAlignment="1">
      <alignment/>
    </xf>
    <xf numFmtId="166" fontId="11" fillId="12" borderId="0" xfId="0" applyNumberFormat="1" applyFont="1" applyFill="1" applyAlignment="1">
      <alignment/>
    </xf>
    <xf numFmtId="166" fontId="11" fillId="4" borderId="0" xfId="0" applyNumberFormat="1" applyFont="1" applyFill="1" applyAlignment="1">
      <alignment/>
    </xf>
    <xf numFmtId="166" fontId="6" fillId="4" borderId="0" xfId="0" applyNumberFormat="1" applyFont="1" applyFill="1" applyAlignment="1">
      <alignment/>
    </xf>
    <xf numFmtId="166" fontId="0" fillId="4" borderId="0" xfId="0" applyNumberFormat="1" applyFont="1" applyFill="1" applyAlignment="1">
      <alignment/>
    </xf>
    <xf numFmtId="166" fontId="11" fillId="5" borderId="0" xfId="0" applyNumberFormat="1" applyFont="1" applyFill="1" applyAlignment="1">
      <alignment/>
    </xf>
    <xf numFmtId="164" fontId="12" fillId="3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0" fontId="40" fillId="9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3" fontId="4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164" fontId="2" fillId="4" borderId="0" xfId="0" applyNumberFormat="1" applyFont="1" applyFill="1" applyAlignment="1">
      <alignment/>
    </xf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>
      <alignment horizontal="left" indent="1"/>
    </xf>
    <xf numFmtId="10" fontId="0" fillId="4" borderId="0" xfId="0" applyNumberFormat="1" applyFill="1" applyAlignment="1">
      <alignment/>
    </xf>
    <xf numFmtId="10" fontId="1" fillId="4" borderId="0" xfId="0" applyNumberFormat="1" applyFont="1" applyFill="1" applyAlignment="1">
      <alignment/>
    </xf>
    <xf numFmtId="170" fontId="1" fillId="4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1" fillId="3" borderId="0" xfId="0" applyFont="1" applyFill="1" applyAlignment="1">
      <alignment horizontal="center"/>
    </xf>
    <xf numFmtId="3" fontId="41" fillId="3" borderId="0" xfId="0" applyNumberFormat="1" applyFont="1" applyFill="1" applyAlignment="1">
      <alignment horizontal="left"/>
    </xf>
    <xf numFmtId="0" fontId="42" fillId="3" borderId="0" xfId="0" applyFont="1" applyFill="1" applyAlignment="1">
      <alignment horizontal="left"/>
    </xf>
    <xf numFmtId="3" fontId="41" fillId="3" borderId="0" xfId="0" applyNumberFormat="1" applyFont="1" applyFill="1" applyAlignment="1">
      <alignment horizontal="center"/>
    </xf>
    <xf numFmtId="164" fontId="41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166" fontId="4" fillId="4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left"/>
    </xf>
    <xf numFmtId="164" fontId="44" fillId="0" borderId="0" xfId="0" applyNumberFormat="1" applyFont="1" applyFill="1" applyAlignment="1">
      <alignment/>
    </xf>
    <xf numFmtId="166" fontId="45" fillId="0" borderId="0" xfId="0" applyNumberFormat="1" applyFont="1" applyFill="1" applyAlignment="1">
      <alignment/>
    </xf>
    <xf numFmtId="164" fontId="33" fillId="0" borderId="0" xfId="0" applyNumberFormat="1" applyFont="1" applyFill="1" applyAlignment="1">
      <alignment/>
    </xf>
    <xf numFmtId="170" fontId="23" fillId="0" borderId="0" xfId="0" applyNumberFormat="1" applyFont="1" applyFill="1" applyAlignment="1">
      <alignment horizontal="left" indent="1"/>
    </xf>
    <xf numFmtId="10" fontId="43" fillId="0" borderId="0" xfId="0" applyNumberFormat="1" applyFont="1" applyFill="1" applyAlignment="1">
      <alignment/>
    </xf>
    <xf numFmtId="170" fontId="43" fillId="0" borderId="0" xfId="0" applyNumberFormat="1" applyFont="1" applyFill="1" applyAlignment="1">
      <alignment/>
    </xf>
    <xf numFmtId="164" fontId="46" fillId="3" borderId="0" xfId="0" applyNumberFormat="1" applyFont="1" applyFill="1" applyAlignment="1">
      <alignment/>
    </xf>
    <xf numFmtId="0" fontId="19" fillId="3" borderId="0" xfId="0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left"/>
    </xf>
    <xf numFmtId="166" fontId="4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/>
    </xf>
    <xf numFmtId="166" fontId="1" fillId="4" borderId="0" xfId="0" applyNumberFormat="1" applyFont="1" applyFill="1" applyAlignment="1">
      <alignment/>
    </xf>
    <xf numFmtId="0" fontId="4" fillId="14" borderId="0" xfId="0" applyFont="1" applyFill="1" applyAlignment="1">
      <alignment horizontal="center"/>
    </xf>
    <xf numFmtId="3" fontId="4" fillId="14" borderId="0" xfId="0" applyNumberFormat="1" applyFont="1" applyFill="1" applyAlignment="1">
      <alignment horizontal="center"/>
    </xf>
    <xf numFmtId="3" fontId="4" fillId="14" borderId="0" xfId="0" applyNumberFormat="1" applyFont="1" applyFill="1" applyAlignment="1">
      <alignment/>
    </xf>
    <xf numFmtId="3" fontId="6" fillId="14" borderId="0" xfId="0" applyNumberFormat="1" applyFont="1" applyFill="1" applyAlignment="1">
      <alignment/>
    </xf>
    <xf numFmtId="164" fontId="4" fillId="14" borderId="0" xfId="0" applyNumberFormat="1" applyFont="1" applyFill="1" applyAlignment="1">
      <alignment/>
    </xf>
    <xf numFmtId="3" fontId="2" fillId="14" borderId="0" xfId="0" applyNumberFormat="1" applyFont="1" applyFill="1" applyAlignment="1">
      <alignment/>
    </xf>
    <xf numFmtId="164" fontId="2" fillId="14" borderId="0" xfId="0" applyNumberFormat="1" applyFont="1" applyFill="1" applyAlignment="1">
      <alignment/>
    </xf>
    <xf numFmtId="3" fontId="4" fillId="14" borderId="0" xfId="0" applyNumberFormat="1" applyFont="1" applyFill="1" applyAlignment="1">
      <alignment horizontal="left"/>
    </xf>
    <xf numFmtId="0" fontId="4" fillId="14" borderId="0" xfId="0" applyFont="1" applyFill="1" applyAlignment="1">
      <alignment horizontal="left"/>
    </xf>
    <xf numFmtId="166" fontId="4" fillId="14" borderId="0" xfId="0" applyNumberFormat="1" applyFont="1" applyFill="1" applyAlignment="1">
      <alignment/>
    </xf>
    <xf numFmtId="170" fontId="4" fillId="14" borderId="0" xfId="0" applyNumberFormat="1" applyFont="1" applyFill="1" applyAlignment="1">
      <alignment horizontal="left" indent="1"/>
    </xf>
    <xf numFmtId="0" fontId="4" fillId="14" borderId="0" xfId="0" applyFont="1" applyFill="1" applyAlignment="1">
      <alignment/>
    </xf>
    <xf numFmtId="10" fontId="4" fillId="14" borderId="0" xfId="0" applyNumberFormat="1" applyFont="1" applyFill="1" applyAlignment="1">
      <alignment/>
    </xf>
    <xf numFmtId="164" fontId="0" fillId="14" borderId="0" xfId="0" applyNumberFormat="1" applyFont="1" applyFill="1" applyAlignment="1">
      <alignment/>
    </xf>
    <xf numFmtId="10" fontId="1" fillId="14" borderId="0" xfId="0" applyNumberFormat="1" applyFont="1" applyFill="1" applyAlignment="1">
      <alignment/>
    </xf>
    <xf numFmtId="164" fontId="4" fillId="14" borderId="0" xfId="0" applyNumberFormat="1" applyFont="1" applyFill="1" applyAlignment="1">
      <alignment/>
    </xf>
    <xf numFmtId="0" fontId="4" fillId="14" borderId="0" xfId="0" applyFont="1" applyFill="1" applyAlignment="1">
      <alignment/>
    </xf>
    <xf numFmtId="9" fontId="4" fillId="14" borderId="0" xfId="0" applyNumberFormat="1" applyFont="1" applyFill="1" applyAlignment="1">
      <alignment horizontal="left" indent="1"/>
    </xf>
    <xf numFmtId="166" fontId="1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8" fontId="0" fillId="0" borderId="0" xfId="0" applyNumberFormat="1" applyAlignment="1">
      <alignment/>
    </xf>
    <xf numFmtId="3" fontId="4" fillId="4" borderId="0" xfId="0" applyNumberFormat="1" applyFont="1" applyFill="1" applyAlignment="1">
      <alignment/>
    </xf>
    <xf numFmtId="166" fontId="4" fillId="3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6" fontId="1" fillId="9" borderId="0" xfId="0" applyNumberFormat="1" applyFont="1" applyFill="1" applyAlignment="1">
      <alignment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4" fillId="15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4" fillId="0" borderId="0" xfId="0" applyNumberFormat="1" applyFont="1" applyFill="1" applyAlignment="1">
      <alignment/>
    </xf>
    <xf numFmtId="186" fontId="1" fillId="0" borderId="0" xfId="0" applyNumberFormat="1" applyFont="1" applyAlignment="1">
      <alignment/>
    </xf>
    <xf numFmtId="185" fontId="4" fillId="0" borderId="0" xfId="0" applyNumberFormat="1" applyFont="1" applyFill="1" applyAlignment="1">
      <alignment/>
    </xf>
    <xf numFmtId="179" fontId="4" fillId="5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4" borderId="0" xfId="0" applyFont="1" applyFill="1" applyAlignment="1">
      <alignment/>
    </xf>
    <xf numFmtId="179" fontId="4" fillId="0" borderId="0" xfId="0" applyNumberFormat="1" applyFont="1" applyAlignment="1">
      <alignment/>
    </xf>
    <xf numFmtId="179" fontId="4" fillId="3" borderId="0" xfId="0" applyNumberFormat="1" applyFont="1" applyFill="1" applyAlignment="1">
      <alignment/>
    </xf>
    <xf numFmtId="188" fontId="4" fillId="3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/>
    </xf>
    <xf numFmtId="166" fontId="4" fillId="15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4" fillId="11" borderId="0" xfId="0" applyNumberFormat="1" applyFont="1" applyFill="1" applyAlignment="1">
      <alignment/>
    </xf>
    <xf numFmtId="166" fontId="4" fillId="9" borderId="0" xfId="0" applyNumberFormat="1" applyFont="1" applyFill="1" applyAlignment="1">
      <alignment/>
    </xf>
    <xf numFmtId="0" fontId="4" fillId="16" borderId="0" xfId="0" applyFont="1" applyFill="1" applyAlignment="1">
      <alignment horizontal="center"/>
    </xf>
    <xf numFmtId="3" fontId="4" fillId="16" borderId="0" xfId="0" applyNumberFormat="1" applyFont="1" applyFill="1" applyAlignment="1">
      <alignment horizontal="center"/>
    </xf>
    <xf numFmtId="3" fontId="4" fillId="16" borderId="0" xfId="0" applyNumberFormat="1" applyFont="1" applyFill="1" applyAlignment="1">
      <alignment/>
    </xf>
    <xf numFmtId="3" fontId="6" fillId="16" borderId="0" xfId="0" applyNumberFormat="1" applyFont="1" applyFill="1" applyAlignment="1">
      <alignment/>
    </xf>
    <xf numFmtId="164" fontId="4" fillId="16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1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4" borderId="0" xfId="0" applyFont="1" applyFill="1" applyAlignment="1">
      <alignment horizontal="center"/>
    </xf>
    <xf numFmtId="0" fontId="13" fillId="14" borderId="0" xfId="0" applyFont="1" applyFill="1" applyAlignment="1">
      <alignment horizontal="center"/>
    </xf>
    <xf numFmtId="0" fontId="19" fillId="16" borderId="0" xfId="0" applyFont="1" applyFill="1" applyAlignment="1">
      <alignment horizontal="center"/>
    </xf>
    <xf numFmtId="3" fontId="4" fillId="16" borderId="0" xfId="0" applyNumberFormat="1" applyFont="1" applyFill="1" applyAlignment="1">
      <alignment horizontal="left"/>
    </xf>
    <xf numFmtId="0" fontId="4" fillId="16" borderId="0" xfId="0" applyFont="1" applyFill="1" applyAlignment="1">
      <alignment horizontal="left"/>
    </xf>
    <xf numFmtId="164" fontId="2" fillId="16" borderId="0" xfId="0" applyNumberFormat="1" applyFont="1" applyFill="1" applyAlignment="1">
      <alignment/>
    </xf>
    <xf numFmtId="3" fontId="48" fillId="16" borderId="0" xfId="0" applyNumberFormat="1" applyFont="1" applyFill="1" applyAlignment="1">
      <alignment/>
    </xf>
    <xf numFmtId="3" fontId="12" fillId="3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64" fontId="12" fillId="4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179" fontId="4" fillId="0" borderId="0" xfId="0" applyNumberFormat="1" applyFont="1" applyAlignment="1">
      <alignment/>
    </xf>
    <xf numFmtId="179" fontId="4" fillId="15" borderId="0" xfId="0" applyNumberFormat="1" applyFont="1" applyFill="1" applyAlignment="1">
      <alignment/>
    </xf>
    <xf numFmtId="166" fontId="4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193" fontId="1" fillId="0" borderId="0" xfId="0" applyNumberFormat="1" applyFont="1" applyAlignment="1">
      <alignment/>
    </xf>
    <xf numFmtId="17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164" fontId="29" fillId="0" borderId="3" xfId="0" applyNumberFormat="1" applyFont="1" applyFill="1" applyBorder="1" applyAlignment="1">
      <alignment horizontal="center"/>
    </xf>
    <xf numFmtId="166" fontId="26" fillId="11" borderId="4" xfId="0" applyNumberFormat="1" applyFont="1" applyFill="1" applyBorder="1" applyAlignment="1">
      <alignment/>
    </xf>
    <xf numFmtId="166" fontId="26" fillId="9" borderId="4" xfId="0" applyNumberFormat="1" applyFont="1" applyFill="1" applyBorder="1" applyAlignment="1">
      <alignment/>
    </xf>
    <xf numFmtId="166" fontId="26" fillId="10" borderId="4" xfId="0" applyNumberFormat="1" applyFont="1" applyFill="1" applyBorder="1" applyAlignment="1">
      <alignment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/>
    </xf>
    <xf numFmtId="3" fontId="0" fillId="11" borderId="0" xfId="0" applyNumberFormat="1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171" fontId="0" fillId="11" borderId="0" xfId="0" applyNumberFormat="1" applyFont="1" applyFill="1" applyAlignment="1">
      <alignment horizontal="center"/>
    </xf>
    <xf numFmtId="166" fontId="0" fillId="11" borderId="0" xfId="0" applyNumberFormat="1" applyFont="1" applyFill="1" applyAlignment="1">
      <alignment/>
    </xf>
    <xf numFmtId="164" fontId="0" fillId="11" borderId="0" xfId="0" applyNumberFormat="1" applyFont="1" applyFill="1" applyAlignment="1">
      <alignment/>
    </xf>
    <xf numFmtId="166" fontId="26" fillId="13" borderId="4" xfId="0" applyNumberFormat="1" applyFont="1" applyFill="1" applyBorder="1" applyAlignment="1">
      <alignment/>
    </xf>
    <xf numFmtId="164" fontId="29" fillId="5" borderId="1" xfId="0" applyNumberFormat="1" applyFont="1" applyFill="1" applyBorder="1" applyAlignment="1">
      <alignment horizontal="center"/>
    </xf>
    <xf numFmtId="164" fontId="29" fillId="5" borderId="2" xfId="0" applyNumberFormat="1" applyFont="1" applyFill="1" applyBorder="1" applyAlignment="1">
      <alignment horizontal="center"/>
    </xf>
    <xf numFmtId="164" fontId="29" fillId="5" borderId="4" xfId="0" applyNumberFormat="1" applyFont="1" applyFill="1" applyBorder="1" applyAlignment="1">
      <alignment horizontal="center"/>
    </xf>
    <xf numFmtId="166" fontId="26" fillId="5" borderId="4" xfId="0" applyNumberFormat="1" applyFont="1" applyFill="1" applyBorder="1" applyAlignment="1">
      <alignment/>
    </xf>
    <xf numFmtId="3" fontId="26" fillId="5" borderId="0" xfId="0" applyNumberFormat="1" applyFont="1" applyFill="1" applyAlignment="1">
      <alignment/>
    </xf>
    <xf numFmtId="3" fontId="11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6" fillId="5" borderId="0" xfId="0" applyNumberFormat="1" applyFont="1" applyFill="1" applyAlignment="1">
      <alignment/>
    </xf>
    <xf numFmtId="164" fontId="29" fillId="5" borderId="3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left"/>
    </xf>
    <xf numFmtId="166" fontId="49" fillId="5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26" fillId="0" borderId="2" xfId="0" applyFont="1" applyFill="1" applyBorder="1" applyAlignment="1">
      <alignment/>
    </xf>
    <xf numFmtId="0" fontId="27" fillId="0" borderId="2" xfId="0" applyFont="1" applyFill="1" applyBorder="1" applyAlignment="1">
      <alignment horizontal="center" vertical="center"/>
    </xf>
    <xf numFmtId="164" fontId="28" fillId="4" borderId="0" xfId="0" applyNumberFormat="1" applyFont="1" applyFill="1" applyAlignment="1">
      <alignment/>
    </xf>
    <xf numFmtId="3" fontId="12" fillId="16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50" fillId="9" borderId="0" xfId="0" applyFont="1" applyFill="1" applyAlignment="1">
      <alignment horizontal="center"/>
    </xf>
    <xf numFmtId="0" fontId="50" fillId="0" borderId="2" xfId="0" applyFont="1" applyBorder="1" applyAlignment="1">
      <alignment horizontal="center"/>
    </xf>
    <xf numFmtId="0" fontId="27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52" fillId="14" borderId="0" xfId="0" applyNumberFormat="1" applyFont="1" applyFill="1" applyAlignment="1">
      <alignment/>
    </xf>
    <xf numFmtId="3" fontId="6" fillId="11" borderId="0" xfId="0" applyNumberFormat="1" applyFont="1" applyFill="1" applyAlignment="1">
      <alignment horizontal="center"/>
    </xf>
    <xf numFmtId="166" fontId="53" fillId="4" borderId="0" xfId="0" applyNumberFormat="1" applyFont="1" applyFill="1" applyAlignment="1">
      <alignment/>
    </xf>
    <xf numFmtId="164" fontId="2" fillId="13" borderId="0" xfId="0" applyNumberFormat="1" applyFont="1" applyFill="1" applyAlignment="1">
      <alignment/>
    </xf>
    <xf numFmtId="164" fontId="2" fillId="2" borderId="0" xfId="0" applyNumberFormat="1" applyFont="1" applyFill="1" applyAlignment="1">
      <alignment horizontal="center"/>
    </xf>
    <xf numFmtId="164" fontId="28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horizontal="center"/>
    </xf>
    <xf numFmtId="191" fontId="1" fillId="0" borderId="0" xfId="0" applyNumberFormat="1" applyFont="1" applyFill="1" applyAlignment="1">
      <alignment horizontal="center"/>
    </xf>
    <xf numFmtId="170" fontId="4" fillId="0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/>
    </xf>
    <xf numFmtId="170" fontId="1" fillId="4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191" fontId="4" fillId="14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/>
    </xf>
    <xf numFmtId="166" fontId="1" fillId="13" borderId="0" xfId="0" applyNumberFormat="1" applyFont="1" applyFill="1" applyAlignment="1">
      <alignment/>
    </xf>
    <xf numFmtId="0" fontId="2" fillId="4" borderId="0" xfId="0" applyNumberFormat="1" applyFont="1" applyFill="1" applyAlignment="1">
      <alignment horizontal="center"/>
    </xf>
    <xf numFmtId="171" fontId="11" fillId="8" borderId="0" xfId="0" applyNumberFormat="1" applyFont="1" applyFill="1" applyAlignment="1">
      <alignment horizontal="center"/>
    </xf>
    <xf numFmtId="183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/>
    </xf>
    <xf numFmtId="0" fontId="54" fillId="12" borderId="0" xfId="0" applyFont="1" applyFill="1" applyAlignment="1">
      <alignment horizontal="center"/>
    </xf>
    <xf numFmtId="185" fontId="6" fillId="3" borderId="0" xfId="0" applyNumberFormat="1" applyFont="1" applyFill="1" applyAlignment="1">
      <alignment horizontal="center"/>
    </xf>
    <xf numFmtId="4" fontId="4" fillId="1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0" fillId="14" borderId="0" xfId="0" applyFont="1" applyFill="1" applyAlignment="1">
      <alignment/>
    </xf>
    <xf numFmtId="166" fontId="16" fillId="14" borderId="0" xfId="0" applyNumberFormat="1" applyFont="1" applyFill="1" applyAlignment="1">
      <alignment/>
    </xf>
    <xf numFmtId="4" fontId="16" fillId="0" borderId="0" xfId="0" applyNumberFormat="1" applyFont="1" applyFill="1" applyAlignment="1">
      <alignment horizontal="center"/>
    </xf>
    <xf numFmtId="191" fontId="1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/>
    </xf>
    <xf numFmtId="0" fontId="4" fillId="13" borderId="0" xfId="0" applyFont="1" applyFill="1" applyAlignment="1">
      <alignment/>
    </xf>
    <xf numFmtId="0" fontId="48" fillId="16" borderId="0" xfId="0" applyNumberFormat="1" applyFont="1" applyFill="1" applyAlignment="1">
      <alignment horizontal="center"/>
    </xf>
    <xf numFmtId="0" fontId="11" fillId="17" borderId="0" xfId="0" applyFont="1" applyFill="1" applyAlignment="1">
      <alignment/>
    </xf>
    <xf numFmtId="0" fontId="0" fillId="17" borderId="0" xfId="0" applyFont="1" applyFill="1" applyAlignment="1">
      <alignment/>
    </xf>
    <xf numFmtId="164" fontId="11" fillId="17" borderId="0" xfId="0" applyNumberFormat="1" applyFont="1" applyFill="1" applyAlignment="1">
      <alignment/>
    </xf>
    <xf numFmtId="171" fontId="0" fillId="8" borderId="0" xfId="0" applyNumberFormat="1" applyFont="1" applyFill="1" applyAlignment="1">
      <alignment horizontal="center"/>
    </xf>
    <xf numFmtId="164" fontId="0" fillId="8" borderId="0" xfId="0" applyNumberFormat="1" applyFill="1" applyAlignment="1">
      <alignment/>
    </xf>
    <xf numFmtId="0" fontId="6" fillId="17" borderId="0" xfId="0" applyFont="1" applyFill="1" applyAlignment="1">
      <alignment/>
    </xf>
    <xf numFmtId="166" fontId="28" fillId="17" borderId="0" xfId="0" applyNumberFormat="1" applyFont="1" applyFill="1" applyAlignment="1">
      <alignment horizontal="center"/>
    </xf>
    <xf numFmtId="0" fontId="28" fillId="17" borderId="0" xfId="0" applyFont="1" applyFill="1" applyAlignment="1">
      <alignment horizontal="center"/>
    </xf>
    <xf numFmtId="164" fontId="16" fillId="0" borderId="0" xfId="0" applyNumberFormat="1" applyFont="1" applyAlignment="1">
      <alignment/>
    </xf>
    <xf numFmtId="164" fontId="4" fillId="14" borderId="0" xfId="0" applyNumberFormat="1" applyFont="1" applyFill="1" applyAlignment="1">
      <alignment/>
    </xf>
    <xf numFmtId="164" fontId="4" fillId="3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191" fontId="4" fillId="14" borderId="0" xfId="0" applyNumberFormat="1" applyFont="1" applyFill="1" applyAlignment="1">
      <alignment horizontal="left"/>
    </xf>
    <xf numFmtId="0" fontId="4" fillId="4" borderId="0" xfId="0" applyNumberFormat="1" applyFont="1" applyFill="1" applyAlignment="1">
      <alignment horizontal="center"/>
    </xf>
    <xf numFmtId="0" fontId="12" fillId="4" borderId="0" xfId="0" applyNumberFormat="1" applyFont="1" applyFill="1" applyAlignment="1">
      <alignment horizontal="center"/>
    </xf>
    <xf numFmtId="0" fontId="4" fillId="16" borderId="0" xfId="0" applyNumberFormat="1" applyFont="1" applyFill="1" applyAlignment="1">
      <alignment horizontal="center"/>
    </xf>
    <xf numFmtId="0" fontId="12" fillId="16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3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4" fillId="14" borderId="0" xfId="0" applyNumberFormat="1" applyFont="1" applyFill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16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3" fontId="23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15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164" fontId="1" fillId="16" borderId="0" xfId="0" applyNumberFormat="1" applyFont="1" applyFill="1" applyAlignment="1">
      <alignment/>
    </xf>
    <xf numFmtId="164" fontId="15" fillId="0" borderId="0" xfId="0" applyNumberFormat="1" applyFont="1" applyFill="1" applyAlignment="1">
      <alignment/>
    </xf>
    <xf numFmtId="164" fontId="1" fillId="14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166" fontId="6" fillId="4" borderId="0" xfId="0" applyNumberFormat="1" applyFont="1" applyFill="1" applyAlignment="1">
      <alignment/>
    </xf>
    <xf numFmtId="166" fontId="6" fillId="4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0" fontId="16" fillId="0" borderId="0" xfId="0" applyFont="1" applyAlignment="1">
      <alignment horizontal="left"/>
    </xf>
    <xf numFmtId="164" fontId="20" fillId="16" borderId="0" xfId="0" applyNumberFormat="1" applyFont="1" applyFill="1" applyAlignment="1">
      <alignment/>
    </xf>
    <xf numFmtId="170" fontId="4" fillId="16" borderId="0" xfId="0" applyNumberFormat="1" applyFont="1" applyFill="1" applyAlignment="1">
      <alignment horizontal="left" indent="1"/>
    </xf>
    <xf numFmtId="0" fontId="4" fillId="16" borderId="0" xfId="0" applyFont="1" applyFill="1" applyAlignment="1">
      <alignment/>
    </xf>
    <xf numFmtId="164" fontId="58" fillId="18" borderId="0" xfId="0" applyNumberFormat="1" applyFont="1" applyFill="1" applyAlignment="1">
      <alignment/>
    </xf>
    <xf numFmtId="164" fontId="59" fillId="18" borderId="0" xfId="0" applyNumberFormat="1" applyFont="1" applyFill="1" applyAlignment="1">
      <alignment/>
    </xf>
    <xf numFmtId="164" fontId="57" fillId="19" borderId="0" xfId="0" applyNumberFormat="1" applyFont="1" applyFill="1" applyAlignment="1">
      <alignment/>
    </xf>
    <xf numFmtId="164" fontId="60" fillId="20" borderId="0" xfId="0" applyNumberFormat="1" applyFont="1" applyFill="1" applyAlignment="1">
      <alignment/>
    </xf>
    <xf numFmtId="164" fontId="62" fillId="20" borderId="0" xfId="0" applyNumberFormat="1" applyFont="1" applyFill="1" applyAlignment="1">
      <alignment/>
    </xf>
    <xf numFmtId="164" fontId="58" fillId="20" borderId="0" xfId="0" applyNumberFormat="1" applyFont="1" applyFill="1" applyAlignment="1">
      <alignment/>
    </xf>
    <xf numFmtId="164" fontId="57" fillId="21" borderId="0" xfId="0" applyNumberFormat="1" applyFont="1" applyFill="1" applyAlignment="1">
      <alignment/>
    </xf>
    <xf numFmtId="164" fontId="61" fillId="20" borderId="0" xfId="0" applyNumberFormat="1" applyFont="1" applyFill="1" applyAlignment="1">
      <alignment/>
    </xf>
    <xf numFmtId="0" fontId="4" fillId="4" borderId="0" xfId="0" applyFont="1" applyFill="1" applyAlignment="1">
      <alignment horizontal="left" indent="1"/>
    </xf>
    <xf numFmtId="166" fontId="4" fillId="16" borderId="0" xfId="0" applyNumberFormat="1" applyFont="1" applyFill="1" applyAlignment="1">
      <alignment horizontal="left" indent="1"/>
    </xf>
    <xf numFmtId="166" fontId="16" fillId="0" borderId="0" xfId="0" applyNumberFormat="1" applyFont="1" applyFill="1" applyAlignment="1">
      <alignment horizontal="left" indent="1"/>
    </xf>
    <xf numFmtId="166" fontId="5" fillId="3" borderId="0" xfId="0" applyNumberFormat="1" applyFont="1" applyFill="1" applyAlignment="1">
      <alignment horizontal="left" indent="1"/>
    </xf>
    <xf numFmtId="166" fontId="5" fillId="5" borderId="0" xfId="0" applyNumberFormat="1" applyFont="1" applyFill="1" applyAlignment="1">
      <alignment horizontal="left" indent="1"/>
    </xf>
    <xf numFmtId="166" fontId="6" fillId="4" borderId="0" xfId="0" applyNumberFormat="1" applyFont="1" applyFill="1" applyAlignment="1">
      <alignment horizontal="left" indent="1"/>
    </xf>
    <xf numFmtId="166" fontId="45" fillId="0" borderId="0" xfId="0" applyNumberFormat="1" applyFont="1" applyFill="1" applyAlignment="1">
      <alignment horizontal="left" indent="1"/>
    </xf>
    <xf numFmtId="166" fontId="4" fillId="14" borderId="0" xfId="0" applyNumberFormat="1" applyFont="1" applyFill="1" applyAlignment="1">
      <alignment horizontal="left" indent="1"/>
    </xf>
    <xf numFmtId="166" fontId="34" fillId="3" borderId="0" xfId="0" applyNumberFormat="1" applyFont="1" applyFill="1" applyAlignment="1">
      <alignment horizontal="left" indent="1"/>
    </xf>
    <xf numFmtId="164" fontId="60" fillId="19" borderId="0" xfId="0" applyNumberFormat="1" applyFont="1" applyFill="1" applyAlignment="1">
      <alignment/>
    </xf>
    <xf numFmtId="0" fontId="0" fillId="13" borderId="0" xfId="0" applyFill="1" applyAlignment="1">
      <alignment horizontal="left"/>
    </xf>
    <xf numFmtId="4" fontId="4" fillId="13" borderId="0" xfId="0" applyNumberFormat="1" applyFont="1" applyFill="1" applyAlignment="1">
      <alignment horizontal="left"/>
    </xf>
    <xf numFmtId="4" fontId="1" fillId="13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center"/>
    </xf>
    <xf numFmtId="3" fontId="28" fillId="0" borderId="0" xfId="0" applyNumberFormat="1" applyFont="1" applyAlignment="1">
      <alignment/>
    </xf>
    <xf numFmtId="164" fontId="63" fillId="2" borderId="0" xfId="0" applyNumberFormat="1" applyFont="1" applyFill="1" applyAlignment="1">
      <alignment horizontal="center"/>
    </xf>
    <xf numFmtId="164" fontId="56" fillId="3" borderId="0" xfId="0" applyNumberFormat="1" applyFont="1" applyFill="1" applyAlignment="1">
      <alignment/>
    </xf>
    <xf numFmtId="16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="120" zoomScaleNormal="120" workbookViewId="0" topLeftCell="D1">
      <pane ySplit="3" topLeftCell="BM4" activePane="bottomLeft" state="frozen"/>
      <selection pane="topLeft" activeCell="A1" sqref="A1"/>
      <selection pane="bottomLeft" activeCell="L3" sqref="L3"/>
    </sheetView>
  </sheetViews>
  <sheetFormatPr defaultColWidth="8.8515625" defaultRowHeight="22.5" customHeight="1"/>
  <cols>
    <col min="1" max="1" width="2.8515625" style="5" customWidth="1"/>
    <col min="2" max="2" width="4.28125" style="22" customWidth="1"/>
    <col min="3" max="3" width="5.00390625" style="12" customWidth="1"/>
    <col min="4" max="4" width="17.28125" style="12" customWidth="1"/>
    <col min="5" max="5" width="10.00390625" style="12" customWidth="1"/>
    <col min="6" max="6" width="2.28125" style="12" customWidth="1"/>
    <col min="7" max="7" width="2.00390625" style="26" customWidth="1"/>
    <col min="8" max="8" width="2.421875" style="12" customWidth="1"/>
    <col min="9" max="9" width="9.421875" style="12" customWidth="1"/>
    <col min="10" max="10" width="14.28125" style="15" bestFit="1" customWidth="1"/>
    <col min="11" max="11" width="2.7109375" style="15" customWidth="1"/>
    <col min="12" max="12" width="11.8515625" style="12" customWidth="1"/>
    <col min="13" max="13" width="13.140625" style="27" customWidth="1"/>
    <col min="14" max="14" width="13.140625" style="12" customWidth="1"/>
    <col min="15" max="15" width="11.7109375" style="12" customWidth="1"/>
    <col min="16" max="16" width="14.28125" style="12" customWidth="1"/>
    <col min="17" max="17" width="9.8515625" style="12" customWidth="1"/>
    <col min="18" max="18" width="7.8515625" style="17" customWidth="1"/>
    <col min="19" max="16384" width="8.8515625" style="12" customWidth="1"/>
  </cols>
  <sheetData>
    <row r="1" spans="3:17" ht="22.5" customHeight="1">
      <c r="C1" s="22"/>
      <c r="D1" s="6"/>
      <c r="E1" s="5" t="s">
        <v>4</v>
      </c>
      <c r="F1" s="5"/>
      <c r="G1" s="1"/>
      <c r="H1" s="5"/>
      <c r="I1" s="7" t="s">
        <v>168</v>
      </c>
      <c r="J1" s="8" t="s">
        <v>346</v>
      </c>
      <c r="K1" s="9" t="s">
        <v>396</v>
      </c>
      <c r="L1" s="5" t="s">
        <v>17</v>
      </c>
      <c r="M1" s="10" t="s">
        <v>18</v>
      </c>
      <c r="N1" s="5" t="s">
        <v>19</v>
      </c>
      <c r="O1" s="5" t="s">
        <v>57</v>
      </c>
      <c r="P1" s="11" t="s">
        <v>56</v>
      </c>
      <c r="Q1" s="5" t="s">
        <v>42</v>
      </c>
    </row>
    <row r="2" spans="3:17" ht="22.5" customHeight="1">
      <c r="C2" s="22"/>
      <c r="D2" s="22" t="s">
        <v>255</v>
      </c>
      <c r="E2" s="13" t="s">
        <v>5</v>
      </c>
      <c r="F2" s="13"/>
      <c r="G2" s="509"/>
      <c r="H2" s="5"/>
      <c r="I2" s="14">
        <v>11.666</v>
      </c>
      <c r="J2" s="9" t="s">
        <v>240</v>
      </c>
      <c r="K2" s="1">
        <v>50000</v>
      </c>
      <c r="L2" s="16">
        <v>0.03</v>
      </c>
      <c r="M2" s="585">
        <v>0.017</v>
      </c>
      <c r="N2" s="16">
        <v>0.016</v>
      </c>
      <c r="O2" s="16">
        <v>0.003</v>
      </c>
      <c r="P2" s="16">
        <v>0.1285</v>
      </c>
      <c r="Q2" s="5" t="s">
        <v>52</v>
      </c>
    </row>
    <row r="3" spans="3:17" ht="22.5" customHeight="1">
      <c r="C3" s="6"/>
      <c r="D3" s="22" t="s">
        <v>344</v>
      </c>
      <c r="E3" s="5" t="s">
        <v>187</v>
      </c>
      <c r="F3" s="5"/>
      <c r="G3" s="509"/>
      <c r="H3" s="5"/>
      <c r="I3" s="5" t="s">
        <v>169</v>
      </c>
      <c r="J3" s="9" t="s">
        <v>16</v>
      </c>
      <c r="K3" s="9" t="s">
        <v>226</v>
      </c>
      <c r="L3" s="18" t="s">
        <v>12</v>
      </c>
      <c r="M3" s="18" t="s">
        <v>12</v>
      </c>
      <c r="N3" s="18" t="s">
        <v>12</v>
      </c>
      <c r="O3" s="18" t="s">
        <v>12</v>
      </c>
      <c r="P3" s="16" t="s">
        <v>13</v>
      </c>
      <c r="Q3" s="6" t="s">
        <v>186</v>
      </c>
    </row>
    <row r="4" spans="3:17" ht="22.5" customHeight="1">
      <c r="C4" s="6"/>
      <c r="D4" s="50" t="s">
        <v>229</v>
      </c>
      <c r="E4" s="3">
        <v>950</v>
      </c>
      <c r="F4" s="56"/>
      <c r="G4" s="509"/>
      <c r="H4" s="5"/>
      <c r="I4" s="5"/>
      <c r="J4" s="586">
        <v>171965</v>
      </c>
      <c r="L4" s="584"/>
      <c r="M4" s="18"/>
      <c r="N4" s="18"/>
      <c r="O4" s="18"/>
      <c r="P4" s="16"/>
      <c r="Q4" s="33">
        <f>J4/E4</f>
        <v>181.0157894736842</v>
      </c>
    </row>
    <row r="5" spans="3:17" ht="22.5" customHeight="1">
      <c r="C5" s="6"/>
      <c r="D5" s="2"/>
      <c r="E5" s="29"/>
      <c r="F5" s="29"/>
      <c r="G5" s="509"/>
      <c r="H5" s="5"/>
      <c r="I5" s="5"/>
      <c r="J5" s="69"/>
      <c r="K5" s="9"/>
      <c r="L5" s="18"/>
      <c r="M5" s="18"/>
      <c r="N5" s="18"/>
      <c r="O5" s="18"/>
      <c r="P5" s="16"/>
      <c r="Q5" s="17"/>
    </row>
    <row r="6" spans="3:17" ht="22.5" customHeight="1">
      <c r="C6" s="6"/>
      <c r="D6" s="6" t="s">
        <v>264</v>
      </c>
      <c r="E6" s="3">
        <v>1380</v>
      </c>
      <c r="F6" s="56"/>
      <c r="G6" s="509"/>
      <c r="H6" s="5"/>
      <c r="I6" s="5"/>
      <c r="J6" s="586">
        <v>218939</v>
      </c>
      <c r="K6" s="9"/>
      <c r="L6" s="18"/>
      <c r="M6" s="18"/>
      <c r="N6" s="18"/>
      <c r="O6" s="18"/>
      <c r="P6" s="16"/>
      <c r="Q6" s="33">
        <f>J6/E6</f>
        <v>158.65144927536232</v>
      </c>
    </row>
    <row r="7" spans="3:17" ht="22.5" customHeight="1">
      <c r="C7" s="6"/>
      <c r="D7" s="357"/>
      <c r="E7" s="29"/>
      <c r="F7" s="29"/>
      <c r="G7" s="509"/>
      <c r="H7" s="5"/>
      <c r="I7" s="5"/>
      <c r="J7" s="69"/>
      <c r="K7" s="9"/>
      <c r="M7" s="18"/>
      <c r="N7" s="18"/>
      <c r="O7" s="18"/>
      <c r="P7" s="16"/>
      <c r="Q7" s="17"/>
    </row>
    <row r="8" spans="3:17" ht="22.5" customHeight="1">
      <c r="C8" s="6"/>
      <c r="D8" s="50" t="s">
        <v>230</v>
      </c>
      <c r="E8" s="3">
        <v>1825</v>
      </c>
      <c r="F8" s="56"/>
      <c r="G8" s="509"/>
      <c r="H8" s="5"/>
      <c r="I8" s="5"/>
      <c r="J8" s="586">
        <v>249798</v>
      </c>
      <c r="K8" s="9"/>
      <c r="L8" s="18"/>
      <c r="M8" s="18"/>
      <c r="N8" s="18"/>
      <c r="O8" s="18"/>
      <c r="P8" s="16"/>
      <c r="Q8" s="33">
        <f>J8/E8</f>
        <v>136.87561643835616</v>
      </c>
    </row>
    <row r="9" spans="3:17" ht="22.5" customHeight="1">
      <c r="C9" s="6"/>
      <c r="D9" s="2"/>
      <c r="E9" s="29"/>
      <c r="F9" s="29"/>
      <c r="G9" s="509"/>
      <c r="H9" s="5"/>
      <c r="I9" s="5"/>
      <c r="J9" s="69"/>
      <c r="K9" s="9"/>
      <c r="L9" s="18"/>
      <c r="M9" s="18"/>
      <c r="N9" s="18"/>
      <c r="O9" s="18"/>
      <c r="P9" s="16"/>
      <c r="Q9" s="17"/>
    </row>
    <row r="10" spans="3:17" ht="22.5" customHeight="1">
      <c r="C10" s="6"/>
      <c r="D10" s="50" t="s">
        <v>85</v>
      </c>
      <c r="E10" s="3">
        <v>2525</v>
      </c>
      <c r="F10" s="56"/>
      <c r="G10" s="509"/>
      <c r="H10" s="5"/>
      <c r="I10" s="5"/>
      <c r="J10" s="586">
        <v>322873</v>
      </c>
      <c r="K10" s="9"/>
      <c r="L10" s="18"/>
      <c r="M10" s="18"/>
      <c r="N10" s="18"/>
      <c r="O10" s="18"/>
      <c r="P10" s="16"/>
      <c r="Q10" s="33">
        <f>J10/E10</f>
        <v>127.87049504950495</v>
      </c>
    </row>
    <row r="11" spans="3:17" ht="22.5" customHeight="1">
      <c r="C11" s="6"/>
      <c r="D11" s="355"/>
      <c r="E11" s="356"/>
      <c r="F11" s="29"/>
      <c r="G11" s="509"/>
      <c r="H11" s="5"/>
      <c r="I11" s="5"/>
      <c r="J11" s="69"/>
      <c r="K11" s="9"/>
      <c r="L11" s="18"/>
      <c r="M11" s="18"/>
      <c r="N11" s="18"/>
      <c r="O11" s="18"/>
      <c r="P11" s="16"/>
      <c r="Q11" s="17"/>
    </row>
    <row r="12" spans="3:17" ht="22.5" customHeight="1">
      <c r="C12" s="6"/>
      <c r="D12" s="50" t="s">
        <v>347</v>
      </c>
      <c r="E12" s="3">
        <v>3425</v>
      </c>
      <c r="F12" s="56"/>
      <c r="G12" s="509"/>
      <c r="H12" s="5"/>
      <c r="J12" s="586">
        <v>414149</v>
      </c>
      <c r="K12" s="9"/>
      <c r="L12" s="18"/>
      <c r="M12" s="18"/>
      <c r="N12" s="18"/>
      <c r="O12" s="18"/>
      <c r="P12" s="16"/>
      <c r="Q12" s="33">
        <f>J12/E12</f>
        <v>120.91941605839416</v>
      </c>
    </row>
    <row r="13" spans="3:17" ht="22.5" customHeight="1">
      <c r="C13" s="6"/>
      <c r="D13" s="2"/>
      <c r="E13" s="29"/>
      <c r="F13" s="29"/>
      <c r="G13" s="509"/>
      <c r="H13" s="5"/>
      <c r="I13" s="5"/>
      <c r="J13" s="69"/>
      <c r="K13" s="9"/>
      <c r="L13" s="18"/>
      <c r="M13" s="18"/>
      <c r="N13" s="18"/>
      <c r="O13" s="18"/>
      <c r="P13" s="16"/>
      <c r="Q13" s="17"/>
    </row>
    <row r="14" spans="3:17" ht="22.5" customHeight="1">
      <c r="C14" s="6"/>
      <c r="D14" s="50"/>
      <c r="E14" s="56"/>
      <c r="F14" s="56"/>
      <c r="G14" s="509"/>
      <c r="H14" s="5"/>
      <c r="I14" s="5"/>
      <c r="J14" s="21" t="s">
        <v>152</v>
      </c>
      <c r="K14" s="9"/>
      <c r="L14" s="18"/>
      <c r="M14" s="18"/>
      <c r="N14" s="18"/>
      <c r="O14" s="18"/>
      <c r="P14" s="16"/>
      <c r="Q14" s="33"/>
    </row>
    <row r="15" spans="3:17" ht="22.5" customHeight="1">
      <c r="C15" s="6"/>
      <c r="D15" s="2"/>
      <c r="E15" s="29"/>
      <c r="F15" s="29"/>
      <c r="G15" s="509"/>
      <c r="H15" s="5"/>
      <c r="I15" s="5"/>
      <c r="J15" s="588">
        <v>41464</v>
      </c>
      <c r="K15" s="9"/>
      <c r="L15" s="18"/>
      <c r="M15" s="18"/>
      <c r="N15" s="18"/>
      <c r="O15" s="18"/>
      <c r="P15" s="16"/>
      <c r="Q15" s="17"/>
    </row>
    <row r="16" spans="2:17" ht="22.5" customHeight="1">
      <c r="B16" s="84"/>
      <c r="C16" s="31"/>
      <c r="D16" s="32"/>
      <c r="F16" s="85"/>
      <c r="H16" s="5"/>
      <c r="I16" s="5"/>
      <c r="K16" s="9"/>
      <c r="L16" s="18"/>
      <c r="M16" s="18"/>
      <c r="N16" s="18"/>
      <c r="O16" s="18"/>
      <c r="P16" s="16"/>
      <c r="Q16" s="17"/>
    </row>
    <row r="17" spans="1:14" ht="22.5" customHeight="1">
      <c r="A17" s="40"/>
      <c r="C17" s="50"/>
      <c r="D17" s="34"/>
      <c r="E17" s="24"/>
      <c r="F17" s="24"/>
      <c r="G17" s="513"/>
      <c r="H17" s="20"/>
      <c r="I17" s="47"/>
      <c r="J17" s="19"/>
      <c r="K17" s="19"/>
      <c r="L17" s="21"/>
      <c r="M17" s="21"/>
      <c r="N17" s="21"/>
    </row>
    <row r="18" spans="1:14" ht="22.5" customHeight="1">
      <c r="A18" s="40"/>
      <c r="C18" s="3"/>
      <c r="D18" s="34"/>
      <c r="E18" s="24"/>
      <c r="F18" s="24"/>
      <c r="G18" s="513"/>
      <c r="H18" s="20"/>
      <c r="I18" s="46"/>
      <c r="J18" s="19"/>
      <c r="K18" s="19"/>
      <c r="L18" s="21"/>
      <c r="M18" s="21"/>
      <c r="N18" s="21"/>
    </row>
    <row r="19" spans="1:14" ht="22.5" customHeight="1">
      <c r="A19" s="42"/>
      <c r="C19" s="50"/>
      <c r="D19" s="34"/>
      <c r="E19" s="24"/>
      <c r="F19" s="24"/>
      <c r="G19" s="513"/>
      <c r="H19" s="20"/>
      <c r="I19" s="47"/>
      <c r="J19" s="19"/>
      <c r="K19" s="19"/>
      <c r="L19" s="21"/>
      <c r="M19" s="21"/>
      <c r="N19" s="21"/>
    </row>
    <row r="20" spans="1:14" ht="22.5" customHeight="1">
      <c r="A20" s="62"/>
      <c r="C20" s="50"/>
      <c r="D20" s="34"/>
      <c r="E20" s="24"/>
      <c r="F20" s="24"/>
      <c r="H20" s="20"/>
      <c r="I20" s="47"/>
      <c r="J20" s="19"/>
      <c r="K20" s="19"/>
      <c r="L20" s="21"/>
      <c r="M20" s="21"/>
      <c r="N20" s="21"/>
    </row>
    <row r="21" spans="1:14" ht="22.5" customHeight="1">
      <c r="A21" s="44"/>
      <c r="C21" s="50"/>
      <c r="D21" s="34"/>
      <c r="E21" s="24"/>
      <c r="F21" s="24"/>
      <c r="H21" s="20"/>
      <c r="I21" s="47"/>
      <c r="J21" s="19"/>
      <c r="K21" s="19"/>
      <c r="L21" s="21"/>
      <c r="M21" s="21"/>
      <c r="N21" s="21"/>
    </row>
    <row r="22" spans="1:14" ht="22.5" customHeight="1">
      <c r="A22" s="43"/>
      <c r="C22" s="50"/>
      <c r="D22" s="34"/>
      <c r="E22" s="24"/>
      <c r="F22" s="24"/>
      <c r="H22" s="20"/>
      <c r="I22" s="47"/>
      <c r="J22" s="19"/>
      <c r="K22" s="19"/>
      <c r="L22" s="21"/>
      <c r="M22" s="21"/>
      <c r="N22" s="21"/>
    </row>
    <row r="23" spans="1:14" ht="22.5" customHeight="1">
      <c r="A23" s="42"/>
      <c r="B23" s="36"/>
      <c r="C23" s="35"/>
      <c r="D23" s="34"/>
      <c r="E23" s="24"/>
      <c r="F23" s="24"/>
      <c r="H23" s="20"/>
      <c r="I23" s="47"/>
      <c r="J23" s="19"/>
      <c r="K23" s="19"/>
      <c r="L23" s="21"/>
      <c r="M23" s="21"/>
      <c r="N23" s="21"/>
    </row>
    <row r="24" spans="1:14" ht="22.5" customHeight="1">
      <c r="A24" s="62"/>
      <c r="C24" s="50"/>
      <c r="D24" s="34"/>
      <c r="E24" s="24"/>
      <c r="F24" s="24"/>
      <c r="H24" s="20"/>
      <c r="I24" s="47"/>
      <c r="J24" s="19"/>
      <c r="K24" s="19"/>
      <c r="L24" s="21"/>
      <c r="M24" s="21"/>
      <c r="N24" s="21"/>
    </row>
    <row r="25" spans="1:14" ht="22.5" customHeight="1">
      <c r="A25" s="41"/>
      <c r="C25" s="50"/>
      <c r="D25" s="34"/>
      <c r="E25" s="24"/>
      <c r="F25" s="24"/>
      <c r="G25" s="513"/>
      <c r="H25" s="20"/>
      <c r="I25" s="47"/>
      <c r="J25" s="19"/>
      <c r="K25" s="19"/>
      <c r="L25" s="21"/>
      <c r="M25" s="21"/>
      <c r="N25" s="21"/>
    </row>
    <row r="26" spans="1:14" ht="22.5" customHeight="1">
      <c r="A26" s="43"/>
      <c r="C26" s="50"/>
      <c r="D26" s="34"/>
      <c r="E26" s="24"/>
      <c r="F26" s="24"/>
      <c r="G26" s="513"/>
      <c r="H26" s="20"/>
      <c r="I26" s="47"/>
      <c r="J26" s="19"/>
      <c r="K26" s="19"/>
      <c r="L26" s="21"/>
      <c r="M26" s="21"/>
      <c r="N26" s="21"/>
    </row>
    <row r="27" spans="1:14" ht="22.5" customHeight="1">
      <c r="A27" s="42"/>
      <c r="C27" s="50"/>
      <c r="D27" s="34"/>
      <c r="E27" s="24"/>
      <c r="F27" s="24"/>
      <c r="G27" s="513"/>
      <c r="H27" s="20"/>
      <c r="I27" s="47"/>
      <c r="J27" s="19"/>
      <c r="K27" s="19"/>
      <c r="L27" s="21"/>
      <c r="M27" s="21"/>
      <c r="N27" s="21"/>
    </row>
    <row r="28" spans="1:14" ht="22.5" customHeight="1">
      <c r="A28" s="44"/>
      <c r="C28" s="50"/>
      <c r="D28" s="22"/>
      <c r="E28" s="24"/>
      <c r="F28" s="24"/>
      <c r="H28" s="20"/>
      <c r="I28" s="47"/>
      <c r="J28" s="19"/>
      <c r="K28" s="19"/>
      <c r="L28" s="21"/>
      <c r="M28" s="21"/>
      <c r="N28" s="21"/>
    </row>
    <row r="29" spans="1:9" ht="22.5" customHeight="1">
      <c r="A29" s="44"/>
      <c r="D29" s="22"/>
      <c r="E29" s="24"/>
      <c r="F29" s="24"/>
      <c r="H29" s="23"/>
      <c r="I29" s="47"/>
    </row>
    <row r="30" spans="1:9" ht="22.5" customHeight="1">
      <c r="A30" s="44"/>
      <c r="D30" s="22"/>
      <c r="E30" s="24"/>
      <c r="F30" s="24"/>
      <c r="H30" s="23"/>
      <c r="I30" s="47"/>
    </row>
    <row r="31" spans="1:9" ht="22.5" customHeight="1">
      <c r="A31" s="43"/>
      <c r="D31" s="22"/>
      <c r="E31" s="24"/>
      <c r="F31" s="24"/>
      <c r="H31" s="23"/>
      <c r="I31" s="47"/>
    </row>
    <row r="32" spans="1:9" ht="22.5" customHeight="1">
      <c r="A32" s="42"/>
      <c r="D32" s="22"/>
      <c r="E32" s="24"/>
      <c r="F32" s="24"/>
      <c r="H32" s="23"/>
      <c r="I32" s="47"/>
    </row>
    <row r="33" spans="1:9" ht="22.5" customHeight="1">
      <c r="A33" s="44"/>
      <c r="C33" s="50"/>
      <c r="D33" s="22"/>
      <c r="E33" s="24"/>
      <c r="F33" s="24"/>
      <c r="H33" s="23"/>
      <c r="I33" s="47"/>
    </row>
    <row r="34" spans="1:4" ht="22.5" customHeight="1">
      <c r="A34" s="44"/>
      <c r="D34" s="22"/>
    </row>
    <row r="35" spans="1:4" ht="22.5" customHeight="1">
      <c r="A35" s="44"/>
      <c r="D35" s="22"/>
    </row>
    <row r="36" spans="1:4" ht="22.5" customHeight="1">
      <c r="A36" s="43"/>
      <c r="D36" s="22"/>
    </row>
    <row r="37" spans="1:4" ht="22.5" customHeight="1">
      <c r="A37" s="42"/>
      <c r="D37" s="22"/>
    </row>
    <row r="38" spans="1:4" ht="22.5" customHeight="1">
      <c r="A38" s="44"/>
      <c r="C38" s="50"/>
      <c r="D38" s="22"/>
    </row>
    <row r="39" spans="1:4" ht="22.5" customHeight="1">
      <c r="A39" s="44"/>
      <c r="D39" s="22"/>
    </row>
    <row r="40" spans="1:4" ht="22.5" customHeight="1">
      <c r="A40" s="43"/>
      <c r="D40" s="22"/>
    </row>
    <row r="41" spans="1:4" ht="22.5" customHeight="1">
      <c r="A41" s="42"/>
      <c r="D41" s="22"/>
    </row>
    <row r="42" spans="1:4" ht="22.5" customHeight="1">
      <c r="A42" s="44"/>
      <c r="C42" s="50"/>
      <c r="D42" s="22"/>
    </row>
    <row r="43" spans="1:4" ht="22.5" customHeight="1">
      <c r="A43" s="44"/>
      <c r="D43" s="22"/>
    </row>
  </sheetData>
  <printOptions gridLines="1"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5"/>
  <sheetViews>
    <sheetView zoomScale="190" zoomScaleNormal="190" workbookViewId="0" topLeftCell="B1">
      <pane ySplit="3" topLeftCell="BM4" activePane="bottomLeft" state="frozen"/>
      <selection pane="topLeft" activeCell="A1" sqref="A1"/>
      <selection pane="bottomLeft" activeCell="H188" sqref="H188"/>
    </sheetView>
  </sheetViews>
  <sheetFormatPr defaultColWidth="8.8515625" defaultRowHeight="22.5" customHeight="1"/>
  <cols>
    <col min="1" max="1" width="6.7109375" style="5" customWidth="1"/>
    <col min="2" max="2" width="8.7109375" style="22" customWidth="1"/>
    <col min="3" max="3" width="9.8515625" style="12" customWidth="1"/>
    <col min="4" max="4" width="17.28125" style="636" customWidth="1"/>
    <col min="5" max="6" width="10.00390625" style="12" customWidth="1"/>
    <col min="7" max="7" width="12.00390625" style="26" customWidth="1"/>
    <col min="8" max="8" width="14.140625" style="26" customWidth="1"/>
    <col min="9" max="9" width="12.00390625" style="12" customWidth="1"/>
    <col min="10" max="10" width="12.421875" style="510" customWidth="1"/>
    <col min="11" max="11" width="1.8515625" style="510" customWidth="1"/>
    <col min="12" max="12" width="11.8515625" style="12" customWidth="1"/>
    <col min="13" max="13" width="13.140625" style="27" customWidth="1"/>
    <col min="14" max="14" width="13.140625" style="12" customWidth="1"/>
    <col min="15" max="15" width="11.7109375" style="12" customWidth="1"/>
    <col min="16" max="16" width="14.28125" style="12" customWidth="1"/>
    <col min="17" max="17" width="12.00390625" style="12" customWidth="1"/>
    <col min="18" max="18" width="11.7109375" style="505" customWidth="1"/>
    <col min="19" max="16384" width="8.8515625" style="12" customWidth="1"/>
  </cols>
  <sheetData>
    <row r="1" spans="4:17" ht="22.5" customHeight="1">
      <c r="D1" s="6"/>
      <c r="E1" s="5" t="s">
        <v>4</v>
      </c>
      <c r="F1" s="503" t="s">
        <v>341</v>
      </c>
      <c r="G1" s="1" t="s">
        <v>345</v>
      </c>
      <c r="I1" s="492" t="s">
        <v>168</v>
      </c>
      <c r="J1" s="8" t="s">
        <v>346</v>
      </c>
      <c r="K1" s="28" t="s">
        <v>396</v>
      </c>
      <c r="L1" s="5" t="s">
        <v>17</v>
      </c>
      <c r="M1" s="10" t="s">
        <v>18</v>
      </c>
      <c r="N1" s="5" t="s">
        <v>19</v>
      </c>
      <c r="O1" s="5" t="s">
        <v>57</v>
      </c>
      <c r="P1" s="11" t="s">
        <v>56</v>
      </c>
      <c r="Q1" s="5"/>
    </row>
    <row r="2" spans="1:17" ht="22.5" customHeight="1">
      <c r="A2" s="646"/>
      <c r="B2" s="22" t="s">
        <v>198</v>
      </c>
      <c r="C2" s="22" t="s">
        <v>198</v>
      </c>
      <c r="D2" s="22" t="s">
        <v>255</v>
      </c>
      <c r="E2" s="13" t="s">
        <v>5</v>
      </c>
      <c r="F2" s="13" t="s">
        <v>324</v>
      </c>
      <c r="G2" s="509" t="s">
        <v>258</v>
      </c>
      <c r="H2" s="13" t="s">
        <v>221</v>
      </c>
      <c r="I2" s="14">
        <f>Ctrl!I2</f>
        <v>11.666</v>
      </c>
      <c r="J2" s="509" t="s">
        <v>240</v>
      </c>
      <c r="K2" s="581">
        <f>Ctrl!K2</f>
        <v>50000</v>
      </c>
      <c r="L2" s="16">
        <f>Ctrl!L2</f>
        <v>0.03</v>
      </c>
      <c r="M2" s="16">
        <f>Ctrl!M2</f>
        <v>0.017</v>
      </c>
      <c r="N2" s="16">
        <f>Ctrl!N2</f>
        <v>0.016</v>
      </c>
      <c r="O2" s="16">
        <f>Ctrl!O2</f>
        <v>0.003</v>
      </c>
      <c r="P2" s="16">
        <f>Ctrl!P2</f>
        <v>0.1285</v>
      </c>
      <c r="Q2" s="5"/>
    </row>
    <row r="3" spans="1:17" ht="22.5" customHeight="1">
      <c r="A3" s="646"/>
      <c r="B3" s="22" t="s">
        <v>256</v>
      </c>
      <c r="C3" s="22" t="s">
        <v>257</v>
      </c>
      <c r="D3" s="22" t="s">
        <v>344</v>
      </c>
      <c r="E3" s="5" t="s">
        <v>187</v>
      </c>
      <c r="F3" s="504" t="s">
        <v>336</v>
      </c>
      <c r="G3" s="509" t="s">
        <v>115</v>
      </c>
      <c r="H3" s="13" t="s">
        <v>3</v>
      </c>
      <c r="I3" s="5" t="s">
        <v>169</v>
      </c>
      <c r="J3" s="509" t="s">
        <v>16</v>
      </c>
      <c r="K3" s="28" t="s">
        <v>226</v>
      </c>
      <c r="L3" s="18" t="s">
        <v>12</v>
      </c>
      <c r="M3" s="18" t="s">
        <v>12</v>
      </c>
      <c r="N3" s="18" t="s">
        <v>14</v>
      </c>
      <c r="O3" s="18" t="s">
        <v>12</v>
      </c>
      <c r="P3" s="16" t="s">
        <v>13</v>
      </c>
      <c r="Q3" s="6"/>
    </row>
    <row r="4" spans="3:17" ht="22.5" customHeight="1">
      <c r="C4" s="6"/>
      <c r="D4" s="355"/>
      <c r="E4" s="56"/>
      <c r="F4" s="29"/>
      <c r="G4" s="509"/>
      <c r="H4" s="13"/>
      <c r="I4" s="5"/>
      <c r="J4" s="69"/>
      <c r="K4" s="509"/>
      <c r="L4" s="69"/>
      <c r="M4" s="18"/>
      <c r="N4" s="18"/>
      <c r="O4" s="18"/>
      <c r="P4" s="16"/>
      <c r="Q4" s="17"/>
    </row>
    <row r="5" spans="3:17" ht="22.5" customHeight="1">
      <c r="C5" s="6"/>
      <c r="D5" s="30"/>
      <c r="E5" s="31"/>
      <c r="G5" s="32"/>
      <c r="H5" s="13"/>
      <c r="I5" s="5"/>
      <c r="J5" s="509"/>
      <c r="K5" s="509"/>
      <c r="L5" s="18"/>
      <c r="M5" s="18"/>
      <c r="N5" s="18"/>
      <c r="O5" s="18"/>
      <c r="P5" s="16"/>
      <c r="Q5" s="17"/>
    </row>
    <row r="6" spans="1:17" ht="22.5" customHeight="1">
      <c r="A6" s="70"/>
      <c r="B6" s="70">
        <v>1</v>
      </c>
      <c r="C6" s="71">
        <v>7116</v>
      </c>
      <c r="D6" s="620" t="s">
        <v>49</v>
      </c>
      <c r="E6" s="574">
        <v>950</v>
      </c>
      <c r="F6" s="87" t="s">
        <v>331</v>
      </c>
      <c r="G6" s="80">
        <v>925</v>
      </c>
      <c r="H6" s="80">
        <f aca="true" t="shared" si="0" ref="H6:H50">I6-L6+M6-N6-O6-P6</f>
        <v>3901.520075</v>
      </c>
      <c r="I6" s="511">
        <f aca="true" t="shared" si="1" ref="I6:I69">G6*$I$2</f>
        <v>10791.050000000001</v>
      </c>
      <c r="J6" s="511">
        <f>Ctrl!$J$4</f>
        <v>171965</v>
      </c>
      <c r="K6" s="511"/>
      <c r="L6" s="21">
        <f aca="true" t="shared" si="2" ref="L6:L69">$L$2*J6</f>
        <v>5158.95</v>
      </c>
      <c r="M6" s="21">
        <f aca="true" t="shared" si="3" ref="M6:M69">$M$2*J6</f>
        <v>2923.405</v>
      </c>
      <c r="N6" s="21">
        <f aca="true" t="shared" si="4" ref="N6:N69">$N$2*J6</f>
        <v>2751.44</v>
      </c>
      <c r="O6" s="511">
        <f aca="true" t="shared" si="5" ref="O6:O36">$O$2*J6</f>
        <v>515.895</v>
      </c>
      <c r="P6" s="505">
        <f aca="true" t="shared" si="6" ref="P6:P69">$P$2*I6</f>
        <v>1386.6499250000002</v>
      </c>
      <c r="Q6" s="505"/>
    </row>
    <row r="7" spans="1:18" ht="22.5" customHeight="1">
      <c r="A7" s="498"/>
      <c r="B7" s="498">
        <v>2</v>
      </c>
      <c r="C7" s="499">
        <v>7116</v>
      </c>
      <c r="D7" s="622" t="s">
        <v>371</v>
      </c>
      <c r="E7" s="500">
        <v>950</v>
      </c>
      <c r="F7" s="501" t="s">
        <v>372</v>
      </c>
      <c r="G7" s="502">
        <v>925</v>
      </c>
      <c r="H7" s="502">
        <f t="shared" si="0"/>
        <v>3901.520075</v>
      </c>
      <c r="I7" s="511">
        <f t="shared" si="1"/>
        <v>10791.050000000001</v>
      </c>
      <c r="J7" s="511">
        <f>Ctrl!$J$4</f>
        <v>171965</v>
      </c>
      <c r="K7" s="511"/>
      <c r="L7" s="21">
        <f t="shared" si="2"/>
        <v>5158.95</v>
      </c>
      <c r="M7" s="21">
        <f t="shared" si="3"/>
        <v>2923.405</v>
      </c>
      <c r="N7" s="21">
        <f t="shared" si="4"/>
        <v>2751.44</v>
      </c>
      <c r="O7" s="511">
        <f t="shared" si="5"/>
        <v>515.895</v>
      </c>
      <c r="P7" s="505">
        <f t="shared" si="6"/>
        <v>1386.6499250000002</v>
      </c>
      <c r="Q7" s="505"/>
      <c r="R7" s="506"/>
    </row>
    <row r="8" spans="1:17" ht="22.5" customHeight="1">
      <c r="A8" s="36"/>
      <c r="B8" s="36">
        <v>3</v>
      </c>
      <c r="C8" s="55">
        <v>7116</v>
      </c>
      <c r="D8" s="624" t="s">
        <v>210</v>
      </c>
      <c r="E8" s="57">
        <v>950</v>
      </c>
      <c r="F8" s="57" t="s">
        <v>211</v>
      </c>
      <c r="G8" s="77">
        <v>875</v>
      </c>
      <c r="H8" s="77">
        <f t="shared" si="0"/>
        <v>3393.1741249999986</v>
      </c>
      <c r="I8" s="511">
        <f t="shared" si="1"/>
        <v>10207.75</v>
      </c>
      <c r="J8" s="511">
        <f>Ctrl!$J$4</f>
        <v>171965</v>
      </c>
      <c r="K8" s="511"/>
      <c r="L8" s="21">
        <f t="shared" si="2"/>
        <v>5158.95</v>
      </c>
      <c r="M8" s="21">
        <f t="shared" si="3"/>
        <v>2923.405</v>
      </c>
      <c r="N8" s="21">
        <f t="shared" si="4"/>
        <v>2751.44</v>
      </c>
      <c r="O8" s="511">
        <f t="shared" si="5"/>
        <v>515.895</v>
      </c>
      <c r="P8" s="505">
        <f t="shared" si="6"/>
        <v>1311.6958750000001</v>
      </c>
      <c r="Q8" s="505"/>
    </row>
    <row r="9" spans="1:17" ht="22.5" customHeight="1">
      <c r="A9" s="39"/>
      <c r="B9" s="39">
        <v>4</v>
      </c>
      <c r="C9" s="51">
        <v>7116</v>
      </c>
      <c r="D9" s="633" t="s">
        <v>213</v>
      </c>
      <c r="E9" s="58">
        <v>950</v>
      </c>
      <c r="F9" s="58" t="s">
        <v>214</v>
      </c>
      <c r="G9" s="99">
        <v>950</v>
      </c>
      <c r="H9" s="617">
        <f t="shared" si="0"/>
        <v>4155.69305</v>
      </c>
      <c r="I9" s="511">
        <f t="shared" si="1"/>
        <v>11082.7</v>
      </c>
      <c r="J9" s="511">
        <f>Ctrl!$J$4</f>
        <v>171965</v>
      </c>
      <c r="K9" s="511"/>
      <c r="L9" s="21">
        <f t="shared" si="2"/>
        <v>5158.95</v>
      </c>
      <c r="M9" s="21">
        <f t="shared" si="3"/>
        <v>2923.405</v>
      </c>
      <c r="N9" s="21">
        <f t="shared" si="4"/>
        <v>2751.44</v>
      </c>
      <c r="O9" s="511">
        <f t="shared" si="5"/>
        <v>515.895</v>
      </c>
      <c r="P9" s="505">
        <f t="shared" si="6"/>
        <v>1424.12695</v>
      </c>
      <c r="Q9" s="505"/>
    </row>
    <row r="10" spans="1:17" ht="22.5" customHeight="1">
      <c r="A10" s="22"/>
      <c r="B10" s="22">
        <v>5</v>
      </c>
      <c r="C10" s="37">
        <v>7116</v>
      </c>
      <c r="D10" s="627" t="s">
        <v>47</v>
      </c>
      <c r="E10" s="59">
        <v>950</v>
      </c>
      <c r="F10" s="59" t="s">
        <v>146</v>
      </c>
      <c r="G10" s="81">
        <v>975</v>
      </c>
      <c r="H10" s="81">
        <f t="shared" si="0"/>
        <v>4409.866024999999</v>
      </c>
      <c r="I10" s="511">
        <f t="shared" si="1"/>
        <v>11374.35</v>
      </c>
      <c r="J10" s="511">
        <f>Ctrl!$J$4</f>
        <v>171965</v>
      </c>
      <c r="K10" s="511"/>
      <c r="L10" s="21">
        <f t="shared" si="2"/>
        <v>5158.95</v>
      </c>
      <c r="M10" s="21">
        <f t="shared" si="3"/>
        <v>2923.405</v>
      </c>
      <c r="N10" s="21">
        <f t="shared" si="4"/>
        <v>2751.44</v>
      </c>
      <c r="O10" s="511">
        <f t="shared" si="5"/>
        <v>515.895</v>
      </c>
      <c r="P10" s="505">
        <f t="shared" si="6"/>
        <v>1461.603975</v>
      </c>
      <c r="Q10" s="505"/>
    </row>
    <row r="11" spans="1:17" ht="22.5" customHeight="1">
      <c r="A11" s="70"/>
      <c r="B11" s="70">
        <v>6</v>
      </c>
      <c r="C11" s="71">
        <v>10000</v>
      </c>
      <c r="D11" s="620" t="s">
        <v>31</v>
      </c>
      <c r="E11" s="574">
        <v>950</v>
      </c>
      <c r="F11" s="87" t="s">
        <v>37</v>
      </c>
      <c r="G11" s="80">
        <v>950</v>
      </c>
      <c r="H11" s="80">
        <f t="shared" si="0"/>
        <v>4155.69305</v>
      </c>
      <c r="I11" s="511">
        <f t="shared" si="1"/>
        <v>11082.7</v>
      </c>
      <c r="J11" s="511">
        <f>Ctrl!$J$4</f>
        <v>171965</v>
      </c>
      <c r="K11" s="511"/>
      <c r="L11" s="21">
        <f t="shared" si="2"/>
        <v>5158.95</v>
      </c>
      <c r="M11" s="21">
        <f t="shared" si="3"/>
        <v>2923.405</v>
      </c>
      <c r="N11" s="21">
        <f t="shared" si="4"/>
        <v>2751.44</v>
      </c>
      <c r="O11" s="511">
        <f t="shared" si="5"/>
        <v>515.895</v>
      </c>
      <c r="P11" s="505">
        <f t="shared" si="6"/>
        <v>1424.12695</v>
      </c>
      <c r="Q11" s="505"/>
    </row>
    <row r="12" spans="1:17" ht="22.5" customHeight="1">
      <c r="A12" s="359"/>
      <c r="B12" s="359">
        <v>7</v>
      </c>
      <c r="C12" s="360">
        <v>10000</v>
      </c>
      <c r="D12" s="628" t="s">
        <v>31</v>
      </c>
      <c r="E12" s="361">
        <v>950</v>
      </c>
      <c r="F12" s="86" t="s">
        <v>247</v>
      </c>
      <c r="G12" s="91">
        <v>950</v>
      </c>
      <c r="H12" s="91">
        <f t="shared" si="0"/>
        <v>4155.69305</v>
      </c>
      <c r="I12" s="511">
        <f t="shared" si="1"/>
        <v>11082.7</v>
      </c>
      <c r="J12" s="511">
        <f>Ctrl!$J$4</f>
        <v>171965</v>
      </c>
      <c r="K12" s="511"/>
      <c r="L12" s="21">
        <f t="shared" si="2"/>
        <v>5158.95</v>
      </c>
      <c r="M12" s="21">
        <f t="shared" si="3"/>
        <v>2923.405</v>
      </c>
      <c r="N12" s="21">
        <f t="shared" si="4"/>
        <v>2751.44</v>
      </c>
      <c r="O12" s="511">
        <f t="shared" si="5"/>
        <v>515.895</v>
      </c>
      <c r="P12" s="505">
        <f t="shared" si="6"/>
        <v>1424.12695</v>
      </c>
      <c r="Q12" s="505"/>
    </row>
    <row r="13" spans="1:17" ht="22.5" customHeight="1">
      <c r="A13" s="36"/>
      <c r="B13" s="36">
        <v>8</v>
      </c>
      <c r="C13" s="55">
        <v>10000</v>
      </c>
      <c r="D13" s="624" t="s">
        <v>31</v>
      </c>
      <c r="E13" s="57">
        <v>950</v>
      </c>
      <c r="F13" s="57" t="s">
        <v>418</v>
      </c>
      <c r="G13" s="77">
        <v>900</v>
      </c>
      <c r="H13" s="77">
        <f t="shared" si="0"/>
        <v>3647.3470999999986</v>
      </c>
      <c r="I13" s="511">
        <f t="shared" si="1"/>
        <v>10499.4</v>
      </c>
      <c r="J13" s="511">
        <f>Ctrl!$J$4</f>
        <v>171965</v>
      </c>
      <c r="K13" s="511"/>
      <c r="L13" s="21">
        <f t="shared" si="2"/>
        <v>5158.95</v>
      </c>
      <c r="M13" s="21">
        <f t="shared" si="3"/>
        <v>2923.405</v>
      </c>
      <c r="N13" s="21">
        <f t="shared" si="4"/>
        <v>2751.44</v>
      </c>
      <c r="O13" s="511">
        <f t="shared" si="5"/>
        <v>515.895</v>
      </c>
      <c r="P13" s="505">
        <f t="shared" si="6"/>
        <v>1349.1729</v>
      </c>
      <c r="Q13" s="505"/>
    </row>
    <row r="14" spans="1:18" ht="22.5" customHeight="1">
      <c r="A14" s="445"/>
      <c r="B14" s="445">
        <v>9</v>
      </c>
      <c r="C14" s="446">
        <v>10000</v>
      </c>
      <c r="D14" s="630" t="s">
        <v>31</v>
      </c>
      <c r="E14" s="447">
        <v>950</v>
      </c>
      <c r="F14" s="448" t="s">
        <v>236</v>
      </c>
      <c r="G14" s="449">
        <v>925</v>
      </c>
      <c r="H14" s="616">
        <f t="shared" si="0"/>
        <v>3901.520075</v>
      </c>
      <c r="I14" s="511">
        <f t="shared" si="1"/>
        <v>10791.050000000001</v>
      </c>
      <c r="J14" s="511">
        <f>Ctrl!$J$4</f>
        <v>171965</v>
      </c>
      <c r="K14" s="511"/>
      <c r="L14" s="21">
        <f t="shared" si="2"/>
        <v>5158.95</v>
      </c>
      <c r="M14" s="21">
        <f t="shared" si="3"/>
        <v>2923.405</v>
      </c>
      <c r="N14" s="21">
        <f t="shared" si="4"/>
        <v>2751.44</v>
      </c>
      <c r="O14" s="511">
        <f t="shared" si="5"/>
        <v>515.895</v>
      </c>
      <c r="P14" s="505">
        <f t="shared" si="6"/>
        <v>1386.6499250000002</v>
      </c>
      <c r="Q14" s="505"/>
      <c r="R14" s="506"/>
    </row>
    <row r="15" spans="1:17" ht="22.5" customHeight="1">
      <c r="A15" s="39"/>
      <c r="B15" s="39">
        <v>10</v>
      </c>
      <c r="C15" s="51">
        <v>10000</v>
      </c>
      <c r="D15" s="633" t="s">
        <v>31</v>
      </c>
      <c r="E15" s="58">
        <v>950</v>
      </c>
      <c r="F15" s="58" t="s">
        <v>147</v>
      </c>
      <c r="G15" s="99">
        <v>975</v>
      </c>
      <c r="H15" s="617">
        <f t="shared" si="0"/>
        <v>4409.866024999999</v>
      </c>
      <c r="I15" s="511">
        <f t="shared" si="1"/>
        <v>11374.35</v>
      </c>
      <c r="J15" s="511">
        <f>Ctrl!$J$4</f>
        <v>171965</v>
      </c>
      <c r="K15" s="511"/>
      <c r="L15" s="21">
        <f t="shared" si="2"/>
        <v>5158.95</v>
      </c>
      <c r="M15" s="21">
        <f t="shared" si="3"/>
        <v>2923.405</v>
      </c>
      <c r="N15" s="21">
        <f t="shared" si="4"/>
        <v>2751.44</v>
      </c>
      <c r="O15" s="511">
        <f t="shared" si="5"/>
        <v>515.895</v>
      </c>
      <c r="P15" s="505">
        <f t="shared" si="6"/>
        <v>1461.603975</v>
      </c>
      <c r="Q15" s="505"/>
    </row>
    <row r="16" spans="1:17" ht="22.5" customHeight="1">
      <c r="A16" s="22"/>
      <c r="B16" s="25">
        <v>11</v>
      </c>
      <c r="C16" s="37">
        <v>10000</v>
      </c>
      <c r="D16" s="627" t="s">
        <v>238</v>
      </c>
      <c r="E16" s="59">
        <v>950</v>
      </c>
      <c r="F16" s="59" t="s">
        <v>146</v>
      </c>
      <c r="G16" s="81">
        <v>1000</v>
      </c>
      <c r="H16" s="81">
        <f t="shared" si="0"/>
        <v>4664.038999999999</v>
      </c>
      <c r="I16" s="511">
        <f t="shared" si="1"/>
        <v>11666</v>
      </c>
      <c r="J16" s="511">
        <f>Ctrl!$J$4</f>
        <v>171965</v>
      </c>
      <c r="K16" s="511"/>
      <c r="L16" s="21">
        <f t="shared" si="2"/>
        <v>5158.95</v>
      </c>
      <c r="M16" s="21">
        <f t="shared" si="3"/>
        <v>2923.405</v>
      </c>
      <c r="N16" s="21">
        <f t="shared" si="4"/>
        <v>2751.44</v>
      </c>
      <c r="O16" s="511">
        <f t="shared" si="5"/>
        <v>515.895</v>
      </c>
      <c r="P16" s="505">
        <f t="shared" si="6"/>
        <v>1499.0810000000001</v>
      </c>
      <c r="Q16" s="505"/>
    </row>
    <row r="17" spans="1:18" ht="22.5" customHeight="1">
      <c r="A17" s="70"/>
      <c r="B17" s="70">
        <v>12</v>
      </c>
      <c r="C17" s="71">
        <v>15000</v>
      </c>
      <c r="D17" s="620" t="s">
        <v>31</v>
      </c>
      <c r="E17" s="574">
        <v>950</v>
      </c>
      <c r="F17" s="574" t="s">
        <v>37</v>
      </c>
      <c r="G17" s="80">
        <v>980</v>
      </c>
      <c r="H17" s="80">
        <f t="shared" si="0"/>
        <v>4460.70062</v>
      </c>
      <c r="I17" s="511">
        <f t="shared" si="1"/>
        <v>11432.68</v>
      </c>
      <c r="J17" s="511">
        <f>Ctrl!$J$4</f>
        <v>171965</v>
      </c>
      <c r="K17" s="511"/>
      <c r="L17" s="21">
        <f t="shared" si="2"/>
        <v>5158.95</v>
      </c>
      <c r="M17" s="21">
        <f t="shared" si="3"/>
        <v>2923.405</v>
      </c>
      <c r="N17" s="21">
        <f t="shared" si="4"/>
        <v>2751.44</v>
      </c>
      <c r="O17" s="511">
        <f t="shared" si="5"/>
        <v>515.895</v>
      </c>
      <c r="P17" s="505">
        <f t="shared" si="6"/>
        <v>1469.09938</v>
      </c>
      <c r="Q17" s="505"/>
      <c r="R17" s="506"/>
    </row>
    <row r="18" spans="1:17" ht="22.5" customHeight="1">
      <c r="A18" s="36"/>
      <c r="B18" s="36">
        <v>13</v>
      </c>
      <c r="C18" s="55">
        <v>15000</v>
      </c>
      <c r="D18" s="624" t="s">
        <v>31</v>
      </c>
      <c r="E18" s="575">
        <v>950</v>
      </c>
      <c r="F18" s="57" t="s">
        <v>145</v>
      </c>
      <c r="G18" s="77">
        <v>930</v>
      </c>
      <c r="H18" s="77">
        <f t="shared" si="0"/>
        <v>3952.3546699999997</v>
      </c>
      <c r="I18" s="511">
        <f t="shared" si="1"/>
        <v>10849.380000000001</v>
      </c>
      <c r="J18" s="511">
        <f>Ctrl!$J$4</f>
        <v>171965</v>
      </c>
      <c r="K18" s="511"/>
      <c r="L18" s="21">
        <f t="shared" si="2"/>
        <v>5158.95</v>
      </c>
      <c r="M18" s="21">
        <f t="shared" si="3"/>
        <v>2923.405</v>
      </c>
      <c r="N18" s="21">
        <f t="shared" si="4"/>
        <v>2751.44</v>
      </c>
      <c r="O18" s="511">
        <f t="shared" si="5"/>
        <v>515.895</v>
      </c>
      <c r="P18" s="505">
        <f t="shared" si="6"/>
        <v>1394.14533</v>
      </c>
      <c r="Q18" s="505"/>
    </row>
    <row r="19" spans="1:17" ht="22.5" customHeight="1">
      <c r="A19" s="445"/>
      <c r="B19" s="445">
        <v>14</v>
      </c>
      <c r="C19" s="446">
        <v>15000</v>
      </c>
      <c r="D19" s="630" t="s">
        <v>31</v>
      </c>
      <c r="E19" s="447">
        <v>950</v>
      </c>
      <c r="F19" s="450" t="s">
        <v>276</v>
      </c>
      <c r="G19" s="449">
        <v>955</v>
      </c>
      <c r="H19" s="616">
        <f t="shared" si="0"/>
        <v>4206.527644999999</v>
      </c>
      <c r="I19" s="511">
        <f t="shared" si="1"/>
        <v>11141.03</v>
      </c>
      <c r="J19" s="511">
        <f>Ctrl!$J$4</f>
        <v>171965</v>
      </c>
      <c r="K19" s="511"/>
      <c r="L19" s="21">
        <f t="shared" si="2"/>
        <v>5158.95</v>
      </c>
      <c r="M19" s="21">
        <f t="shared" si="3"/>
        <v>2923.405</v>
      </c>
      <c r="N19" s="21">
        <f t="shared" si="4"/>
        <v>2751.44</v>
      </c>
      <c r="O19" s="511">
        <f t="shared" si="5"/>
        <v>515.895</v>
      </c>
      <c r="P19" s="505">
        <f t="shared" si="6"/>
        <v>1431.6223550000002</v>
      </c>
      <c r="Q19" s="505"/>
    </row>
    <row r="20" spans="1:17" ht="22.5" customHeight="1">
      <c r="A20" s="39"/>
      <c r="B20" s="39">
        <v>15</v>
      </c>
      <c r="C20" s="51">
        <v>15000</v>
      </c>
      <c r="D20" s="633" t="s">
        <v>31</v>
      </c>
      <c r="E20" s="58">
        <v>950</v>
      </c>
      <c r="F20" s="58" t="s">
        <v>147</v>
      </c>
      <c r="G20" s="99">
        <v>1005</v>
      </c>
      <c r="H20" s="617">
        <f t="shared" si="0"/>
        <v>4714.873594999999</v>
      </c>
      <c r="I20" s="511">
        <f t="shared" si="1"/>
        <v>11724.33</v>
      </c>
      <c r="J20" s="511">
        <f>Ctrl!$J$4</f>
        <v>171965</v>
      </c>
      <c r="K20" s="511"/>
      <c r="L20" s="21">
        <f t="shared" si="2"/>
        <v>5158.95</v>
      </c>
      <c r="M20" s="21">
        <f t="shared" si="3"/>
        <v>2923.405</v>
      </c>
      <c r="N20" s="21">
        <f t="shared" si="4"/>
        <v>2751.44</v>
      </c>
      <c r="O20" s="511">
        <f t="shared" si="5"/>
        <v>515.895</v>
      </c>
      <c r="P20" s="505">
        <f t="shared" si="6"/>
        <v>1506.576405</v>
      </c>
      <c r="Q20" s="505"/>
    </row>
    <row r="21" spans="1:17" ht="22.5" customHeight="1">
      <c r="A21" s="25"/>
      <c r="B21" s="25">
        <v>16</v>
      </c>
      <c r="C21" s="37">
        <v>15000</v>
      </c>
      <c r="D21" s="627" t="s">
        <v>238</v>
      </c>
      <c r="E21" s="59">
        <v>950</v>
      </c>
      <c r="F21" s="59" t="s">
        <v>146</v>
      </c>
      <c r="G21" s="81">
        <v>1030</v>
      </c>
      <c r="H21" s="81">
        <f t="shared" si="0"/>
        <v>4969.046569999999</v>
      </c>
      <c r="I21" s="511">
        <f t="shared" si="1"/>
        <v>12015.98</v>
      </c>
      <c r="J21" s="511">
        <f>Ctrl!$J$4</f>
        <v>171965</v>
      </c>
      <c r="K21" s="511"/>
      <c r="L21" s="21">
        <f t="shared" si="2"/>
        <v>5158.95</v>
      </c>
      <c r="M21" s="21">
        <f t="shared" si="3"/>
        <v>2923.405</v>
      </c>
      <c r="N21" s="21">
        <f t="shared" si="4"/>
        <v>2751.44</v>
      </c>
      <c r="O21" s="511">
        <f t="shared" si="5"/>
        <v>515.895</v>
      </c>
      <c r="P21" s="505">
        <f t="shared" si="6"/>
        <v>1544.05343</v>
      </c>
      <c r="Q21" s="505"/>
    </row>
    <row r="22" spans="1:17" ht="22.5" customHeight="1">
      <c r="A22" s="70"/>
      <c r="B22" s="70">
        <v>17</v>
      </c>
      <c r="C22" s="71">
        <v>20000</v>
      </c>
      <c r="D22" s="620" t="s">
        <v>238</v>
      </c>
      <c r="E22" s="574">
        <v>950</v>
      </c>
      <c r="F22" s="574" t="s">
        <v>37</v>
      </c>
      <c r="G22" s="80">
        <v>1000</v>
      </c>
      <c r="H22" s="80">
        <f t="shared" si="0"/>
        <v>4664.038999999999</v>
      </c>
      <c r="I22" s="511">
        <f t="shared" si="1"/>
        <v>11666</v>
      </c>
      <c r="J22" s="511">
        <f>Ctrl!$J$4</f>
        <v>171965</v>
      </c>
      <c r="K22" s="511"/>
      <c r="L22" s="21">
        <f t="shared" si="2"/>
        <v>5158.95</v>
      </c>
      <c r="M22" s="21">
        <f t="shared" si="3"/>
        <v>2923.405</v>
      </c>
      <c r="N22" s="21">
        <f t="shared" si="4"/>
        <v>2751.44</v>
      </c>
      <c r="O22" s="511">
        <f t="shared" si="5"/>
        <v>515.895</v>
      </c>
      <c r="P22" s="505">
        <f t="shared" si="6"/>
        <v>1499.0810000000001</v>
      </c>
      <c r="Q22" s="505"/>
    </row>
    <row r="23" spans="1:17" ht="22.5" customHeight="1">
      <c r="A23" s="36"/>
      <c r="B23" s="36">
        <v>18</v>
      </c>
      <c r="C23" s="55">
        <v>20000</v>
      </c>
      <c r="D23" s="624" t="s">
        <v>31</v>
      </c>
      <c r="E23" s="575">
        <v>950</v>
      </c>
      <c r="F23" s="57" t="s">
        <v>145</v>
      </c>
      <c r="G23" s="77">
        <v>950</v>
      </c>
      <c r="H23" s="77">
        <f t="shared" si="0"/>
        <v>4155.69305</v>
      </c>
      <c r="I23" s="511">
        <f t="shared" si="1"/>
        <v>11082.7</v>
      </c>
      <c r="J23" s="511">
        <f>Ctrl!$J$4</f>
        <v>171965</v>
      </c>
      <c r="K23" s="511"/>
      <c r="L23" s="21">
        <f t="shared" si="2"/>
        <v>5158.95</v>
      </c>
      <c r="M23" s="21">
        <f t="shared" si="3"/>
        <v>2923.405</v>
      </c>
      <c r="N23" s="21">
        <f t="shared" si="4"/>
        <v>2751.44</v>
      </c>
      <c r="O23" s="511">
        <f t="shared" si="5"/>
        <v>515.895</v>
      </c>
      <c r="P23" s="505">
        <f t="shared" si="6"/>
        <v>1424.12695</v>
      </c>
      <c r="Q23" s="505"/>
    </row>
    <row r="24" spans="1:18" ht="22.5" customHeight="1">
      <c r="A24" s="445"/>
      <c r="B24" s="445">
        <v>19</v>
      </c>
      <c r="C24" s="446">
        <v>20000</v>
      </c>
      <c r="D24" s="630" t="s">
        <v>31</v>
      </c>
      <c r="E24" s="447">
        <v>950</v>
      </c>
      <c r="F24" s="448" t="s">
        <v>363</v>
      </c>
      <c r="G24" s="449">
        <v>975</v>
      </c>
      <c r="H24" s="616">
        <f t="shared" si="0"/>
        <v>4409.866024999999</v>
      </c>
      <c r="I24" s="511">
        <f t="shared" si="1"/>
        <v>11374.35</v>
      </c>
      <c r="J24" s="511">
        <f>Ctrl!$J$4</f>
        <v>171965</v>
      </c>
      <c r="K24" s="511"/>
      <c r="L24" s="21">
        <f t="shared" si="2"/>
        <v>5158.95</v>
      </c>
      <c r="M24" s="21">
        <f t="shared" si="3"/>
        <v>2923.405</v>
      </c>
      <c r="N24" s="21">
        <f t="shared" si="4"/>
        <v>2751.44</v>
      </c>
      <c r="O24" s="511">
        <f t="shared" si="5"/>
        <v>515.895</v>
      </c>
      <c r="P24" s="505">
        <f t="shared" si="6"/>
        <v>1461.603975</v>
      </c>
      <c r="Q24" s="505"/>
      <c r="R24" s="506"/>
    </row>
    <row r="25" spans="1:17" ht="22.5" customHeight="1">
      <c r="A25" s="39"/>
      <c r="B25" s="38">
        <v>20</v>
      </c>
      <c r="C25" s="51">
        <v>20000</v>
      </c>
      <c r="D25" s="633" t="s">
        <v>31</v>
      </c>
      <c r="E25" s="58">
        <v>950</v>
      </c>
      <c r="F25" s="58" t="s">
        <v>147</v>
      </c>
      <c r="G25" s="99">
        <v>1025</v>
      </c>
      <c r="H25" s="617">
        <f t="shared" si="0"/>
        <v>4918.211974999998</v>
      </c>
      <c r="I25" s="511">
        <f t="shared" si="1"/>
        <v>11957.65</v>
      </c>
      <c r="J25" s="511">
        <f>Ctrl!$J$4</f>
        <v>171965</v>
      </c>
      <c r="K25" s="511"/>
      <c r="L25" s="21">
        <f t="shared" si="2"/>
        <v>5158.95</v>
      </c>
      <c r="M25" s="21">
        <f t="shared" si="3"/>
        <v>2923.405</v>
      </c>
      <c r="N25" s="21">
        <f t="shared" si="4"/>
        <v>2751.44</v>
      </c>
      <c r="O25" s="511">
        <f t="shared" si="5"/>
        <v>515.895</v>
      </c>
      <c r="P25" s="505">
        <f t="shared" si="6"/>
        <v>1536.558025</v>
      </c>
      <c r="Q25" s="505"/>
    </row>
    <row r="26" spans="1:17" ht="22.5" customHeight="1">
      <c r="A26" s="25"/>
      <c r="B26" s="25">
        <v>21</v>
      </c>
      <c r="C26" s="37">
        <v>20000</v>
      </c>
      <c r="D26" s="631" t="s">
        <v>238</v>
      </c>
      <c r="E26" s="59">
        <v>950</v>
      </c>
      <c r="F26" s="576" t="s">
        <v>146</v>
      </c>
      <c r="G26" s="81">
        <v>1050</v>
      </c>
      <c r="H26" s="81">
        <f t="shared" si="0"/>
        <v>5172.38495</v>
      </c>
      <c r="I26" s="511">
        <f t="shared" si="1"/>
        <v>12249.300000000001</v>
      </c>
      <c r="J26" s="511">
        <f>Ctrl!$J$4</f>
        <v>171965</v>
      </c>
      <c r="K26" s="511"/>
      <c r="L26" s="21">
        <f t="shared" si="2"/>
        <v>5158.95</v>
      </c>
      <c r="M26" s="21">
        <f t="shared" si="3"/>
        <v>2923.405</v>
      </c>
      <c r="N26" s="21">
        <f t="shared" si="4"/>
        <v>2751.44</v>
      </c>
      <c r="O26" s="511">
        <f t="shared" si="5"/>
        <v>515.895</v>
      </c>
      <c r="P26" s="505">
        <f t="shared" si="6"/>
        <v>1574.0350500000002</v>
      </c>
      <c r="Q26" s="505"/>
    </row>
    <row r="27" spans="1:18" ht="22.5" customHeight="1">
      <c r="A27" s="38"/>
      <c r="B27" s="38">
        <v>22</v>
      </c>
      <c r="C27" s="54">
        <v>20000</v>
      </c>
      <c r="D27" s="632" t="s">
        <v>31</v>
      </c>
      <c r="E27" s="89">
        <v>950</v>
      </c>
      <c r="F27" s="88" t="s">
        <v>366</v>
      </c>
      <c r="G27" s="82">
        <v>1075</v>
      </c>
      <c r="H27" s="617">
        <f t="shared" si="0"/>
        <v>5426.557924999999</v>
      </c>
      <c r="I27" s="511">
        <f t="shared" si="1"/>
        <v>12540.95</v>
      </c>
      <c r="J27" s="511">
        <f>Ctrl!$J$4</f>
        <v>171965</v>
      </c>
      <c r="K27" s="511"/>
      <c r="L27" s="21">
        <f t="shared" si="2"/>
        <v>5158.95</v>
      </c>
      <c r="M27" s="21">
        <f t="shared" si="3"/>
        <v>2923.405</v>
      </c>
      <c r="N27" s="21">
        <f t="shared" si="4"/>
        <v>2751.44</v>
      </c>
      <c r="O27" s="511">
        <f t="shared" si="5"/>
        <v>515.895</v>
      </c>
      <c r="P27" s="505">
        <f t="shared" si="6"/>
        <v>1611.512075</v>
      </c>
      <c r="Q27" s="505"/>
      <c r="R27" s="506"/>
    </row>
    <row r="28" spans="1:17" ht="22.5" customHeight="1">
      <c r="A28" s="70"/>
      <c r="B28" s="70">
        <v>23</v>
      </c>
      <c r="C28" s="71">
        <v>25000</v>
      </c>
      <c r="D28" s="620" t="s">
        <v>238</v>
      </c>
      <c r="E28" s="574">
        <v>950</v>
      </c>
      <c r="F28" s="574" t="s">
        <v>37</v>
      </c>
      <c r="G28" s="80">
        <v>1010</v>
      </c>
      <c r="H28" s="80">
        <f t="shared" si="0"/>
        <v>4765.708189999999</v>
      </c>
      <c r="I28" s="511">
        <f t="shared" si="1"/>
        <v>11782.66</v>
      </c>
      <c r="J28" s="511">
        <f>Ctrl!$J$4</f>
        <v>171965</v>
      </c>
      <c r="K28" s="511"/>
      <c r="L28" s="21">
        <f t="shared" si="2"/>
        <v>5158.95</v>
      </c>
      <c r="M28" s="21">
        <f t="shared" si="3"/>
        <v>2923.405</v>
      </c>
      <c r="N28" s="21">
        <f t="shared" si="4"/>
        <v>2751.44</v>
      </c>
      <c r="O28" s="511">
        <f t="shared" si="5"/>
        <v>515.895</v>
      </c>
      <c r="P28" s="505">
        <f t="shared" si="6"/>
        <v>1514.07181</v>
      </c>
      <c r="Q28" s="505"/>
    </row>
    <row r="29" spans="1:17" ht="22.5" customHeight="1">
      <c r="A29" s="36"/>
      <c r="B29" s="36">
        <v>24</v>
      </c>
      <c r="C29" s="55">
        <v>25000</v>
      </c>
      <c r="D29" s="624" t="s">
        <v>238</v>
      </c>
      <c r="E29" s="575">
        <v>950</v>
      </c>
      <c r="F29" s="57" t="s">
        <v>145</v>
      </c>
      <c r="G29" s="77">
        <v>960</v>
      </c>
      <c r="H29" s="77">
        <f t="shared" si="0"/>
        <v>4257.3622399999995</v>
      </c>
      <c r="I29" s="511">
        <f t="shared" si="1"/>
        <v>11199.36</v>
      </c>
      <c r="J29" s="511">
        <f>Ctrl!$J$4</f>
        <v>171965</v>
      </c>
      <c r="K29" s="511"/>
      <c r="L29" s="21">
        <f t="shared" si="2"/>
        <v>5158.95</v>
      </c>
      <c r="M29" s="21">
        <f t="shared" si="3"/>
        <v>2923.405</v>
      </c>
      <c r="N29" s="21">
        <f t="shared" si="4"/>
        <v>2751.44</v>
      </c>
      <c r="O29" s="511">
        <f t="shared" si="5"/>
        <v>515.895</v>
      </c>
      <c r="P29" s="505">
        <f t="shared" si="6"/>
        <v>1439.11776</v>
      </c>
      <c r="Q29" s="505"/>
    </row>
    <row r="30" spans="1:17" ht="22.5" customHeight="1">
      <c r="A30" s="445"/>
      <c r="B30" s="445">
        <v>25</v>
      </c>
      <c r="C30" s="446">
        <v>25000</v>
      </c>
      <c r="D30" s="630" t="s">
        <v>238</v>
      </c>
      <c r="E30" s="447">
        <v>950</v>
      </c>
      <c r="F30" s="450" t="s">
        <v>276</v>
      </c>
      <c r="G30" s="449">
        <v>985</v>
      </c>
      <c r="H30" s="616">
        <f t="shared" si="0"/>
        <v>4511.535214999999</v>
      </c>
      <c r="I30" s="511">
        <f t="shared" si="1"/>
        <v>11491.01</v>
      </c>
      <c r="J30" s="511">
        <f>Ctrl!$J$4</f>
        <v>171965</v>
      </c>
      <c r="K30" s="511"/>
      <c r="L30" s="21">
        <f t="shared" si="2"/>
        <v>5158.95</v>
      </c>
      <c r="M30" s="21">
        <f t="shared" si="3"/>
        <v>2923.405</v>
      </c>
      <c r="N30" s="21">
        <f t="shared" si="4"/>
        <v>2751.44</v>
      </c>
      <c r="O30" s="511">
        <f t="shared" si="5"/>
        <v>515.895</v>
      </c>
      <c r="P30" s="505">
        <f t="shared" si="6"/>
        <v>1476.594785</v>
      </c>
      <c r="Q30" s="505"/>
    </row>
    <row r="31" spans="1:17" ht="22.5" customHeight="1">
      <c r="A31" s="39"/>
      <c r="B31" s="39">
        <v>26</v>
      </c>
      <c r="C31" s="51">
        <v>25000</v>
      </c>
      <c r="D31" s="633" t="s">
        <v>31</v>
      </c>
      <c r="E31" s="58">
        <v>950</v>
      </c>
      <c r="F31" s="58" t="s">
        <v>147</v>
      </c>
      <c r="G31" s="99">
        <v>1035</v>
      </c>
      <c r="H31" s="617">
        <f t="shared" si="0"/>
        <v>5019.881164999999</v>
      </c>
      <c r="I31" s="511">
        <f t="shared" si="1"/>
        <v>12074.31</v>
      </c>
      <c r="J31" s="511">
        <f>Ctrl!$J$4</f>
        <v>171965</v>
      </c>
      <c r="K31" s="511"/>
      <c r="L31" s="21">
        <f t="shared" si="2"/>
        <v>5158.95</v>
      </c>
      <c r="M31" s="21">
        <f t="shared" si="3"/>
        <v>2923.405</v>
      </c>
      <c r="N31" s="21">
        <f t="shared" si="4"/>
        <v>2751.44</v>
      </c>
      <c r="O31" s="511">
        <f t="shared" si="5"/>
        <v>515.895</v>
      </c>
      <c r="P31" s="505">
        <f t="shared" si="6"/>
        <v>1551.548835</v>
      </c>
      <c r="Q31" s="505"/>
    </row>
    <row r="32" spans="1:17" ht="22.5" customHeight="1">
      <c r="A32" s="25"/>
      <c r="B32" s="25">
        <v>27</v>
      </c>
      <c r="C32" s="37">
        <v>25000</v>
      </c>
      <c r="D32" s="627" t="s">
        <v>48</v>
      </c>
      <c r="E32" s="576">
        <v>950</v>
      </c>
      <c r="F32" s="59" t="s">
        <v>146</v>
      </c>
      <c r="G32" s="81">
        <v>1060</v>
      </c>
      <c r="H32" s="81">
        <f t="shared" si="0"/>
        <v>5274.05414</v>
      </c>
      <c r="I32" s="511">
        <f t="shared" si="1"/>
        <v>12365.960000000001</v>
      </c>
      <c r="J32" s="511">
        <f>Ctrl!$J$4</f>
        <v>171965</v>
      </c>
      <c r="K32" s="511"/>
      <c r="L32" s="21">
        <f t="shared" si="2"/>
        <v>5158.95</v>
      </c>
      <c r="M32" s="21">
        <f t="shared" si="3"/>
        <v>2923.405</v>
      </c>
      <c r="N32" s="21">
        <f t="shared" si="4"/>
        <v>2751.44</v>
      </c>
      <c r="O32" s="511">
        <f t="shared" si="5"/>
        <v>515.895</v>
      </c>
      <c r="P32" s="505">
        <f t="shared" si="6"/>
        <v>1589.0258600000002</v>
      </c>
      <c r="Q32" s="505"/>
    </row>
    <row r="33" spans="1:17" ht="22.5" customHeight="1">
      <c r="A33" s="38"/>
      <c r="B33" s="38">
        <v>28</v>
      </c>
      <c r="C33" s="54">
        <v>25000</v>
      </c>
      <c r="D33" s="632" t="s">
        <v>49</v>
      </c>
      <c r="E33" s="89">
        <v>950</v>
      </c>
      <c r="F33" s="88" t="s">
        <v>366</v>
      </c>
      <c r="G33" s="82">
        <v>1085</v>
      </c>
      <c r="H33" s="82">
        <f t="shared" si="0"/>
        <v>5528.227115</v>
      </c>
      <c r="I33" s="511">
        <f t="shared" si="1"/>
        <v>12657.61</v>
      </c>
      <c r="J33" s="511">
        <f>Ctrl!$J$4</f>
        <v>171965</v>
      </c>
      <c r="K33" s="511"/>
      <c r="L33" s="21">
        <f t="shared" si="2"/>
        <v>5158.95</v>
      </c>
      <c r="M33" s="21">
        <f t="shared" si="3"/>
        <v>2923.405</v>
      </c>
      <c r="N33" s="21">
        <f t="shared" si="4"/>
        <v>2751.44</v>
      </c>
      <c r="O33" s="511">
        <f t="shared" si="5"/>
        <v>515.895</v>
      </c>
      <c r="P33" s="505">
        <f t="shared" si="6"/>
        <v>1626.502885</v>
      </c>
      <c r="Q33" s="505"/>
    </row>
    <row r="34" spans="1:17" ht="22.5" customHeight="1">
      <c r="A34" s="70"/>
      <c r="B34" s="70">
        <v>29</v>
      </c>
      <c r="C34" s="71">
        <v>30000</v>
      </c>
      <c r="D34" s="620" t="s">
        <v>319</v>
      </c>
      <c r="E34" s="574">
        <v>950</v>
      </c>
      <c r="F34" s="574" t="s">
        <v>37</v>
      </c>
      <c r="G34" s="80">
        <v>1015</v>
      </c>
      <c r="H34" s="80">
        <f t="shared" si="0"/>
        <v>4816.542784999999</v>
      </c>
      <c r="I34" s="511">
        <f t="shared" si="1"/>
        <v>11840.99</v>
      </c>
      <c r="J34" s="511">
        <f>Ctrl!$J$4</f>
        <v>171965</v>
      </c>
      <c r="K34" s="511"/>
      <c r="L34" s="21">
        <f t="shared" si="2"/>
        <v>5158.95</v>
      </c>
      <c r="M34" s="21">
        <f t="shared" si="3"/>
        <v>2923.405</v>
      </c>
      <c r="N34" s="21">
        <f t="shared" si="4"/>
        <v>2751.44</v>
      </c>
      <c r="O34" s="511">
        <f t="shared" si="5"/>
        <v>515.895</v>
      </c>
      <c r="P34" s="505">
        <f t="shared" si="6"/>
        <v>1521.567215</v>
      </c>
      <c r="Q34" s="505"/>
    </row>
    <row r="35" spans="1:17" ht="22.5" customHeight="1">
      <c r="A35" s="36"/>
      <c r="B35" s="36">
        <v>30</v>
      </c>
      <c r="C35" s="55">
        <v>30000</v>
      </c>
      <c r="D35" s="624" t="s">
        <v>31</v>
      </c>
      <c r="E35" s="575">
        <v>950</v>
      </c>
      <c r="F35" s="57" t="s">
        <v>145</v>
      </c>
      <c r="G35" s="77">
        <v>965</v>
      </c>
      <c r="H35" s="77">
        <f t="shared" si="0"/>
        <v>4308.196834999999</v>
      </c>
      <c r="I35" s="511">
        <f t="shared" si="1"/>
        <v>11257.69</v>
      </c>
      <c r="J35" s="511">
        <f>Ctrl!$J$4</f>
        <v>171965</v>
      </c>
      <c r="K35" s="511"/>
      <c r="L35" s="21">
        <f t="shared" si="2"/>
        <v>5158.95</v>
      </c>
      <c r="M35" s="21">
        <f t="shared" si="3"/>
        <v>2923.405</v>
      </c>
      <c r="N35" s="21">
        <f t="shared" si="4"/>
        <v>2751.44</v>
      </c>
      <c r="O35" s="511">
        <f t="shared" si="5"/>
        <v>515.895</v>
      </c>
      <c r="P35" s="505">
        <f t="shared" si="6"/>
        <v>1446.6131650000002</v>
      </c>
      <c r="Q35" s="505"/>
    </row>
    <row r="36" spans="1:17" ht="22.5" customHeight="1">
      <c r="A36" s="445"/>
      <c r="B36" s="445">
        <v>31</v>
      </c>
      <c r="C36" s="446">
        <v>30000</v>
      </c>
      <c r="D36" s="630" t="s">
        <v>31</v>
      </c>
      <c r="E36" s="447">
        <v>950</v>
      </c>
      <c r="F36" s="577" t="s">
        <v>276</v>
      </c>
      <c r="G36" s="449">
        <v>990</v>
      </c>
      <c r="H36" s="616">
        <f t="shared" si="0"/>
        <v>4562.369809999999</v>
      </c>
      <c r="I36" s="511">
        <f t="shared" si="1"/>
        <v>11549.34</v>
      </c>
      <c r="J36" s="511">
        <f>Ctrl!$J$4</f>
        <v>171965</v>
      </c>
      <c r="K36" s="511"/>
      <c r="L36" s="21">
        <f t="shared" si="2"/>
        <v>5158.95</v>
      </c>
      <c r="M36" s="21">
        <f t="shared" si="3"/>
        <v>2923.405</v>
      </c>
      <c r="N36" s="21">
        <f t="shared" si="4"/>
        <v>2751.44</v>
      </c>
      <c r="O36" s="511">
        <f t="shared" si="5"/>
        <v>515.895</v>
      </c>
      <c r="P36" s="505">
        <f t="shared" si="6"/>
        <v>1484.0901900000001</v>
      </c>
      <c r="Q36" s="505"/>
    </row>
    <row r="37" spans="1:17" ht="22.5" customHeight="1">
      <c r="A37" s="39"/>
      <c r="B37" s="39">
        <v>32</v>
      </c>
      <c r="C37" s="51">
        <v>30000</v>
      </c>
      <c r="D37" s="633" t="s">
        <v>31</v>
      </c>
      <c r="E37" s="58">
        <v>950</v>
      </c>
      <c r="F37" s="58" t="s">
        <v>147</v>
      </c>
      <c r="G37" s="99">
        <v>1040</v>
      </c>
      <c r="H37" s="617">
        <f t="shared" si="0"/>
        <v>4952.785760000001</v>
      </c>
      <c r="I37" s="511">
        <f t="shared" si="1"/>
        <v>12132.640000000001</v>
      </c>
      <c r="J37" s="511">
        <f>Ctrl!$J$4</f>
        <v>171965</v>
      </c>
      <c r="K37" s="98"/>
      <c r="L37" s="21">
        <f t="shared" si="2"/>
        <v>5158.95</v>
      </c>
      <c r="M37" s="21">
        <f t="shared" si="3"/>
        <v>2923.405</v>
      </c>
      <c r="N37" s="21">
        <f t="shared" si="4"/>
        <v>2751.44</v>
      </c>
      <c r="O37" s="98">
        <v>633.825</v>
      </c>
      <c r="P37" s="505">
        <f t="shared" si="6"/>
        <v>1559.0442400000002</v>
      </c>
      <c r="Q37" s="505"/>
    </row>
    <row r="38" spans="1:17" ht="22.5" customHeight="1">
      <c r="A38" s="49"/>
      <c r="B38" s="49">
        <v>33</v>
      </c>
      <c r="C38" s="37">
        <v>30000</v>
      </c>
      <c r="D38" s="631" t="s">
        <v>319</v>
      </c>
      <c r="E38" s="576">
        <v>950</v>
      </c>
      <c r="F38" s="576" t="s">
        <v>146</v>
      </c>
      <c r="G38" s="81">
        <v>1065</v>
      </c>
      <c r="H38" s="81">
        <f t="shared" si="0"/>
        <v>5356.958735</v>
      </c>
      <c r="I38" s="511">
        <f t="shared" si="1"/>
        <v>12424.29</v>
      </c>
      <c r="J38" s="511">
        <f>Ctrl!$J$4</f>
        <v>171965</v>
      </c>
      <c r="K38" s="98"/>
      <c r="L38" s="21">
        <f t="shared" si="2"/>
        <v>5158.95</v>
      </c>
      <c r="M38" s="21">
        <f t="shared" si="3"/>
        <v>2923.405</v>
      </c>
      <c r="N38" s="21">
        <f t="shared" si="4"/>
        <v>2751.44</v>
      </c>
      <c r="O38" s="98">
        <v>483.825</v>
      </c>
      <c r="P38" s="505">
        <f t="shared" si="6"/>
        <v>1596.521265</v>
      </c>
      <c r="Q38" s="505"/>
    </row>
    <row r="39" spans="1:17" ht="22.5" customHeight="1">
      <c r="A39" s="38"/>
      <c r="B39" s="38">
        <v>34</v>
      </c>
      <c r="C39" s="54">
        <v>30000</v>
      </c>
      <c r="D39" s="632" t="s">
        <v>31</v>
      </c>
      <c r="E39" s="89">
        <v>950</v>
      </c>
      <c r="F39" s="88" t="s">
        <v>366</v>
      </c>
      <c r="G39" s="99">
        <v>1090</v>
      </c>
      <c r="H39" s="82">
        <f t="shared" si="0"/>
        <v>5579.06171</v>
      </c>
      <c r="I39" s="511">
        <f t="shared" si="1"/>
        <v>12715.94</v>
      </c>
      <c r="J39" s="511">
        <f>Ctrl!$J$4</f>
        <v>171965</v>
      </c>
      <c r="K39" s="511"/>
      <c r="L39" s="21">
        <f t="shared" si="2"/>
        <v>5158.95</v>
      </c>
      <c r="M39" s="21">
        <f t="shared" si="3"/>
        <v>2923.405</v>
      </c>
      <c r="N39" s="21">
        <f t="shared" si="4"/>
        <v>2751.44</v>
      </c>
      <c r="O39" s="511">
        <f>$O$2*J39</f>
        <v>515.895</v>
      </c>
      <c r="P39" s="505">
        <f t="shared" si="6"/>
        <v>1633.99829</v>
      </c>
      <c r="Q39" s="505"/>
    </row>
    <row r="40" spans="1:17" ht="22.5" customHeight="1">
      <c r="A40" s="70"/>
      <c r="B40" s="70">
        <v>35</v>
      </c>
      <c r="C40" s="71">
        <v>31686</v>
      </c>
      <c r="D40" s="620" t="s">
        <v>238</v>
      </c>
      <c r="E40" s="574">
        <v>950</v>
      </c>
      <c r="F40" s="574" t="s">
        <v>37</v>
      </c>
      <c r="G40" s="80">
        <v>1015</v>
      </c>
      <c r="H40" s="80">
        <f t="shared" si="0"/>
        <v>4816.542784999999</v>
      </c>
      <c r="I40" s="511">
        <f t="shared" si="1"/>
        <v>11840.99</v>
      </c>
      <c r="J40" s="511">
        <f>Ctrl!$J$4</f>
        <v>171965</v>
      </c>
      <c r="K40" s="511"/>
      <c r="L40" s="21">
        <f t="shared" si="2"/>
        <v>5158.95</v>
      </c>
      <c r="M40" s="21">
        <f t="shared" si="3"/>
        <v>2923.405</v>
      </c>
      <c r="N40" s="21">
        <f t="shared" si="4"/>
        <v>2751.44</v>
      </c>
      <c r="O40" s="511">
        <f>$O$2*J40</f>
        <v>515.895</v>
      </c>
      <c r="P40" s="505">
        <f t="shared" si="6"/>
        <v>1521.567215</v>
      </c>
      <c r="Q40" s="505"/>
    </row>
    <row r="41" spans="1:17" ht="22.5" customHeight="1">
      <c r="A41" s="36"/>
      <c r="B41" s="36">
        <v>36</v>
      </c>
      <c r="C41" s="55">
        <v>31686</v>
      </c>
      <c r="D41" s="624" t="s">
        <v>31</v>
      </c>
      <c r="E41" s="575">
        <v>950</v>
      </c>
      <c r="F41" s="57" t="s">
        <v>145</v>
      </c>
      <c r="G41" s="615">
        <v>965</v>
      </c>
      <c r="H41" s="77">
        <f t="shared" si="0"/>
        <v>4308.196834999999</v>
      </c>
      <c r="I41" s="511">
        <f t="shared" si="1"/>
        <v>11257.69</v>
      </c>
      <c r="J41" s="511">
        <f>Ctrl!$J$4</f>
        <v>171965</v>
      </c>
      <c r="K41" s="511"/>
      <c r="L41" s="21">
        <f t="shared" si="2"/>
        <v>5158.95</v>
      </c>
      <c r="M41" s="21">
        <f t="shared" si="3"/>
        <v>2923.405</v>
      </c>
      <c r="N41" s="21">
        <f t="shared" si="4"/>
        <v>2751.44</v>
      </c>
      <c r="O41" s="511">
        <f>$O$2*J41</f>
        <v>515.895</v>
      </c>
      <c r="P41" s="505">
        <f t="shared" si="6"/>
        <v>1446.6131650000002</v>
      </c>
      <c r="Q41" s="505"/>
    </row>
    <row r="42" spans="1:17" ht="22.5" customHeight="1">
      <c r="A42" s="445"/>
      <c r="B42" s="445">
        <v>37</v>
      </c>
      <c r="C42" s="446">
        <v>31686</v>
      </c>
      <c r="D42" s="630" t="s">
        <v>31</v>
      </c>
      <c r="E42" s="447">
        <v>950</v>
      </c>
      <c r="F42" s="450" t="s">
        <v>276</v>
      </c>
      <c r="G42" s="616">
        <v>990</v>
      </c>
      <c r="H42" s="616">
        <f t="shared" si="0"/>
        <v>4562.369809999999</v>
      </c>
      <c r="I42" s="511">
        <f t="shared" si="1"/>
        <v>11549.34</v>
      </c>
      <c r="J42" s="511">
        <f>Ctrl!$J$4</f>
        <v>171965</v>
      </c>
      <c r="K42" s="511"/>
      <c r="L42" s="21">
        <f t="shared" si="2"/>
        <v>5158.95</v>
      </c>
      <c r="M42" s="21">
        <f t="shared" si="3"/>
        <v>2923.405</v>
      </c>
      <c r="N42" s="21">
        <f t="shared" si="4"/>
        <v>2751.44</v>
      </c>
      <c r="O42" s="511">
        <f>$O$2*J42</f>
        <v>515.895</v>
      </c>
      <c r="P42" s="505">
        <f t="shared" si="6"/>
        <v>1484.0901900000001</v>
      </c>
      <c r="Q42" s="505"/>
    </row>
    <row r="43" spans="1:17" ht="22.5" customHeight="1">
      <c r="A43" s="39"/>
      <c r="B43" s="39">
        <v>38</v>
      </c>
      <c r="C43" s="51">
        <v>31686</v>
      </c>
      <c r="D43" s="633" t="s">
        <v>31</v>
      </c>
      <c r="E43" s="58">
        <v>950</v>
      </c>
      <c r="F43" s="58" t="s">
        <v>147</v>
      </c>
      <c r="G43" s="617">
        <v>1040</v>
      </c>
      <c r="H43" s="617">
        <f t="shared" si="0"/>
        <v>4952.785760000001</v>
      </c>
      <c r="I43" s="511">
        <f t="shared" si="1"/>
        <v>12132.640000000001</v>
      </c>
      <c r="J43" s="511">
        <f>Ctrl!$J$4</f>
        <v>171965</v>
      </c>
      <c r="K43" s="98"/>
      <c r="L43" s="21">
        <f t="shared" si="2"/>
        <v>5158.95</v>
      </c>
      <c r="M43" s="21">
        <f t="shared" si="3"/>
        <v>2923.405</v>
      </c>
      <c r="N43" s="21">
        <f t="shared" si="4"/>
        <v>2751.44</v>
      </c>
      <c r="O43" s="98">
        <v>633.825</v>
      </c>
      <c r="P43" s="505">
        <f t="shared" si="6"/>
        <v>1559.0442400000002</v>
      </c>
      <c r="Q43" s="508"/>
    </row>
    <row r="44" spans="1:17" ht="22.5" customHeight="1">
      <c r="A44" s="49"/>
      <c r="B44" s="49">
        <v>39</v>
      </c>
      <c r="C44" s="37">
        <v>31686</v>
      </c>
      <c r="D44" s="631" t="s">
        <v>238</v>
      </c>
      <c r="E44" s="576">
        <v>950</v>
      </c>
      <c r="F44" s="576" t="s">
        <v>146</v>
      </c>
      <c r="G44" s="618">
        <v>1065</v>
      </c>
      <c r="H44" s="81">
        <f t="shared" si="0"/>
        <v>5356.958735</v>
      </c>
      <c r="I44" s="511">
        <f t="shared" si="1"/>
        <v>12424.29</v>
      </c>
      <c r="J44" s="511">
        <f>Ctrl!$J$4</f>
        <v>171965</v>
      </c>
      <c r="K44" s="98"/>
      <c r="L44" s="21">
        <f t="shared" si="2"/>
        <v>5158.95</v>
      </c>
      <c r="M44" s="21">
        <f t="shared" si="3"/>
        <v>2923.405</v>
      </c>
      <c r="N44" s="21">
        <f t="shared" si="4"/>
        <v>2751.44</v>
      </c>
      <c r="O44" s="98">
        <v>483.825</v>
      </c>
      <c r="P44" s="505">
        <f t="shared" si="6"/>
        <v>1596.521265</v>
      </c>
      <c r="Q44" s="508"/>
    </row>
    <row r="45" spans="1:17" ht="22.5" customHeight="1">
      <c r="A45" s="70"/>
      <c r="B45" s="70">
        <v>40</v>
      </c>
      <c r="C45" s="71">
        <v>53328</v>
      </c>
      <c r="D45" s="620" t="s">
        <v>238</v>
      </c>
      <c r="E45" s="574">
        <v>950</v>
      </c>
      <c r="F45" s="574" t="s">
        <v>37</v>
      </c>
      <c r="G45" s="80">
        <v>1015</v>
      </c>
      <c r="H45" s="80">
        <f t="shared" si="0"/>
        <v>4848.612784999999</v>
      </c>
      <c r="I45" s="511">
        <f t="shared" si="1"/>
        <v>11840.99</v>
      </c>
      <c r="J45" s="511">
        <f>Ctrl!$J$4</f>
        <v>171965</v>
      </c>
      <c r="K45" s="98"/>
      <c r="L45" s="21">
        <f t="shared" si="2"/>
        <v>5158.95</v>
      </c>
      <c r="M45" s="21">
        <f t="shared" si="3"/>
        <v>2923.405</v>
      </c>
      <c r="N45" s="21">
        <f t="shared" si="4"/>
        <v>2751.44</v>
      </c>
      <c r="O45" s="98">
        <v>483.825</v>
      </c>
      <c r="P45" s="505">
        <f t="shared" si="6"/>
        <v>1521.567215</v>
      </c>
      <c r="Q45" s="508"/>
    </row>
    <row r="46" spans="1:17" ht="22.5" customHeight="1">
      <c r="A46" s="48"/>
      <c r="B46" s="48">
        <v>41</v>
      </c>
      <c r="C46" s="55">
        <v>53328</v>
      </c>
      <c r="D46" s="624" t="s">
        <v>31</v>
      </c>
      <c r="E46" s="575">
        <v>950</v>
      </c>
      <c r="F46" s="57" t="s">
        <v>418</v>
      </c>
      <c r="G46" s="77">
        <v>965</v>
      </c>
      <c r="H46" s="77">
        <f t="shared" si="0"/>
        <v>4190.266835</v>
      </c>
      <c r="I46" s="511">
        <f t="shared" si="1"/>
        <v>11257.69</v>
      </c>
      <c r="J46" s="511">
        <f>Ctrl!$J$4</f>
        <v>171965</v>
      </c>
      <c r="K46" s="98"/>
      <c r="L46" s="21">
        <f t="shared" si="2"/>
        <v>5158.95</v>
      </c>
      <c r="M46" s="21">
        <f t="shared" si="3"/>
        <v>2923.405</v>
      </c>
      <c r="N46" s="21">
        <f t="shared" si="4"/>
        <v>2751.44</v>
      </c>
      <c r="O46" s="98">
        <v>633.825</v>
      </c>
      <c r="P46" s="505">
        <f t="shared" si="6"/>
        <v>1446.6131650000002</v>
      </c>
      <c r="Q46" s="508"/>
    </row>
    <row r="47" spans="1:17" ht="22.5" customHeight="1">
      <c r="A47" s="445"/>
      <c r="B47" s="445">
        <v>42</v>
      </c>
      <c r="C47" s="446">
        <v>53328</v>
      </c>
      <c r="D47" s="630" t="s">
        <v>31</v>
      </c>
      <c r="E47" s="447">
        <v>950</v>
      </c>
      <c r="F47" s="448" t="s">
        <v>236</v>
      </c>
      <c r="G47" s="449">
        <v>990</v>
      </c>
      <c r="H47" s="616">
        <f t="shared" si="0"/>
        <v>4444.43981</v>
      </c>
      <c r="I47" s="511">
        <f t="shared" si="1"/>
        <v>11549.34</v>
      </c>
      <c r="J47" s="511">
        <f>Ctrl!$J$4</f>
        <v>171965</v>
      </c>
      <c r="K47" s="98"/>
      <c r="L47" s="21">
        <f t="shared" si="2"/>
        <v>5158.95</v>
      </c>
      <c r="M47" s="21">
        <f t="shared" si="3"/>
        <v>2923.405</v>
      </c>
      <c r="N47" s="21">
        <f t="shared" si="4"/>
        <v>2751.44</v>
      </c>
      <c r="O47" s="98">
        <v>633.825</v>
      </c>
      <c r="P47" s="505">
        <f t="shared" si="6"/>
        <v>1484.0901900000001</v>
      </c>
      <c r="Q47" s="508"/>
    </row>
    <row r="48" spans="1:17" ht="22.5" customHeight="1">
      <c r="A48" s="39"/>
      <c r="B48" s="39">
        <v>43</v>
      </c>
      <c r="C48" s="51">
        <v>53328</v>
      </c>
      <c r="D48" s="633" t="s">
        <v>31</v>
      </c>
      <c r="E48" s="58">
        <v>950</v>
      </c>
      <c r="F48" s="58" t="s">
        <v>147</v>
      </c>
      <c r="G48" s="99">
        <v>1040</v>
      </c>
      <c r="H48" s="617">
        <f t="shared" si="0"/>
        <v>5102.785760000001</v>
      </c>
      <c r="I48" s="511">
        <f t="shared" si="1"/>
        <v>12132.640000000001</v>
      </c>
      <c r="J48" s="511">
        <f>Ctrl!$J$4</f>
        <v>171965</v>
      </c>
      <c r="K48" s="98"/>
      <c r="L48" s="21">
        <f t="shared" si="2"/>
        <v>5158.95</v>
      </c>
      <c r="M48" s="21">
        <f t="shared" si="3"/>
        <v>2923.405</v>
      </c>
      <c r="N48" s="21">
        <f t="shared" si="4"/>
        <v>2751.44</v>
      </c>
      <c r="O48" s="98">
        <v>483.825</v>
      </c>
      <c r="P48" s="505">
        <f t="shared" si="6"/>
        <v>1559.0442400000002</v>
      </c>
      <c r="Q48" s="508"/>
    </row>
    <row r="49" spans="1:17" ht="22.5" customHeight="1">
      <c r="A49" s="49"/>
      <c r="B49" s="49">
        <v>44</v>
      </c>
      <c r="C49" s="37">
        <v>53328</v>
      </c>
      <c r="D49" s="631" t="s">
        <v>238</v>
      </c>
      <c r="E49" s="576">
        <v>950</v>
      </c>
      <c r="F49" s="576" t="s">
        <v>146</v>
      </c>
      <c r="G49" s="81">
        <v>1065</v>
      </c>
      <c r="H49" s="81">
        <f t="shared" si="0"/>
        <v>5356.958735</v>
      </c>
      <c r="I49" s="511">
        <f t="shared" si="1"/>
        <v>12424.29</v>
      </c>
      <c r="J49" s="511">
        <f>Ctrl!$J$4</f>
        <v>171965</v>
      </c>
      <c r="K49" s="98"/>
      <c r="L49" s="21">
        <f t="shared" si="2"/>
        <v>5158.95</v>
      </c>
      <c r="M49" s="21">
        <f t="shared" si="3"/>
        <v>2923.405</v>
      </c>
      <c r="N49" s="21">
        <f t="shared" si="4"/>
        <v>2751.44</v>
      </c>
      <c r="O49" s="98">
        <v>483.825</v>
      </c>
      <c r="P49" s="505">
        <f t="shared" si="6"/>
        <v>1596.521265</v>
      </c>
      <c r="Q49" s="508"/>
    </row>
    <row r="50" spans="1:17" ht="22.5" customHeight="1">
      <c r="A50" s="70"/>
      <c r="B50" s="70">
        <v>1</v>
      </c>
      <c r="C50" s="71">
        <v>7116</v>
      </c>
      <c r="D50" s="70" t="s">
        <v>70</v>
      </c>
      <c r="E50" s="574">
        <v>1380</v>
      </c>
      <c r="F50" s="87" t="s">
        <v>331</v>
      </c>
      <c r="G50" s="80">
        <v>1175</v>
      </c>
      <c r="H50" s="80">
        <f t="shared" si="0"/>
        <v>4940.081825000001</v>
      </c>
      <c r="I50" s="511">
        <f t="shared" si="1"/>
        <v>13707.550000000001</v>
      </c>
      <c r="J50" s="511">
        <f>Ctrl!$J$6</f>
        <v>218939</v>
      </c>
      <c r="K50" s="511"/>
      <c r="L50" s="21">
        <f t="shared" si="2"/>
        <v>6568.17</v>
      </c>
      <c r="M50" s="21">
        <f t="shared" si="3"/>
        <v>3721.963</v>
      </c>
      <c r="N50" s="21">
        <f t="shared" si="4"/>
        <v>3503.024</v>
      </c>
      <c r="O50" s="511">
        <f aca="true" t="shared" si="7" ref="O50:O81">$O$2*J50</f>
        <v>656.817</v>
      </c>
      <c r="P50" s="505">
        <f t="shared" si="6"/>
        <v>1761.4201750000002</v>
      </c>
      <c r="Q50" s="508"/>
    </row>
    <row r="51" spans="1:17" ht="22.5" customHeight="1">
      <c r="A51" s="498"/>
      <c r="B51" s="498">
        <v>2</v>
      </c>
      <c r="C51" s="499">
        <v>7116</v>
      </c>
      <c r="D51" s="606" t="s">
        <v>271</v>
      </c>
      <c r="E51" s="521">
        <v>1380</v>
      </c>
      <c r="F51" s="521" t="s">
        <v>270</v>
      </c>
      <c r="G51" s="502"/>
      <c r="H51" s="651"/>
      <c r="I51" s="511">
        <f t="shared" si="1"/>
        <v>0</v>
      </c>
      <c r="J51" s="511"/>
      <c r="K51" s="511"/>
      <c r="L51" s="21">
        <f t="shared" si="2"/>
        <v>0</v>
      </c>
      <c r="M51" s="21">
        <f t="shared" si="3"/>
        <v>0</v>
      </c>
      <c r="N51" s="21">
        <f t="shared" si="4"/>
        <v>0</v>
      </c>
      <c r="O51" s="511">
        <f t="shared" si="7"/>
        <v>0</v>
      </c>
      <c r="P51" s="505">
        <f t="shared" si="6"/>
        <v>0</v>
      </c>
      <c r="Q51" s="505"/>
    </row>
    <row r="52" spans="1:17" ht="22.5" customHeight="1">
      <c r="A52" s="36"/>
      <c r="B52" s="36">
        <v>3</v>
      </c>
      <c r="C52" s="55">
        <v>7116</v>
      </c>
      <c r="D52" s="36" t="s">
        <v>212</v>
      </c>
      <c r="E52" s="57">
        <v>1380</v>
      </c>
      <c r="F52" s="57" t="s">
        <v>211</v>
      </c>
      <c r="G52" s="77">
        <v>1125</v>
      </c>
      <c r="H52" s="77">
        <f>I52-L52+M52-N52-O52-P52</f>
        <v>4431.735875</v>
      </c>
      <c r="I52" s="511">
        <f t="shared" si="1"/>
        <v>13124.25</v>
      </c>
      <c r="J52" s="511">
        <f>Ctrl!$J$6</f>
        <v>218939</v>
      </c>
      <c r="K52" s="511"/>
      <c r="L52" s="21">
        <f t="shared" si="2"/>
        <v>6568.17</v>
      </c>
      <c r="M52" s="21">
        <f t="shared" si="3"/>
        <v>3721.963</v>
      </c>
      <c r="N52" s="21">
        <f t="shared" si="4"/>
        <v>3503.024</v>
      </c>
      <c r="O52" s="511">
        <f t="shared" si="7"/>
        <v>656.817</v>
      </c>
      <c r="P52" s="505">
        <f t="shared" si="6"/>
        <v>1686.4661250000001</v>
      </c>
      <c r="Q52" s="508"/>
    </row>
    <row r="53" spans="1:17" ht="22.5" customHeight="1">
      <c r="A53" s="358"/>
      <c r="B53" s="39">
        <v>4</v>
      </c>
      <c r="C53" s="51">
        <v>7116</v>
      </c>
      <c r="D53" s="626" t="s">
        <v>215</v>
      </c>
      <c r="E53" s="522">
        <v>1380</v>
      </c>
      <c r="F53" s="522" t="s">
        <v>214</v>
      </c>
      <c r="G53" s="406"/>
      <c r="H53" s="651"/>
      <c r="I53" s="511">
        <f t="shared" si="1"/>
        <v>0</v>
      </c>
      <c r="J53" s="511"/>
      <c r="K53" s="511"/>
      <c r="L53" s="21">
        <f t="shared" si="2"/>
        <v>0</v>
      </c>
      <c r="M53" s="21">
        <f t="shared" si="3"/>
        <v>0</v>
      </c>
      <c r="N53" s="21">
        <f t="shared" si="4"/>
        <v>0</v>
      </c>
      <c r="O53" s="511">
        <f t="shared" si="7"/>
        <v>0</v>
      </c>
      <c r="P53" s="505">
        <f t="shared" si="6"/>
        <v>0</v>
      </c>
      <c r="Q53" s="505"/>
    </row>
    <row r="54" spans="1:17" ht="22.5" customHeight="1">
      <c r="A54" s="25"/>
      <c r="B54" s="22">
        <v>5</v>
      </c>
      <c r="C54" s="37">
        <v>7116</v>
      </c>
      <c r="D54" s="25" t="s">
        <v>264</v>
      </c>
      <c r="E54" s="59">
        <v>1380</v>
      </c>
      <c r="F54" s="59" t="s">
        <v>146</v>
      </c>
      <c r="G54" s="81">
        <v>1225</v>
      </c>
      <c r="H54" s="81">
        <f aca="true" t="shared" si="8" ref="H54:H85">I54-L54+M54-N54-O54-P54</f>
        <v>5448.427775</v>
      </c>
      <c r="I54" s="511">
        <f t="shared" si="1"/>
        <v>14290.85</v>
      </c>
      <c r="J54" s="511">
        <f>Ctrl!$J$6</f>
        <v>218939</v>
      </c>
      <c r="K54" s="511"/>
      <c r="L54" s="21">
        <f t="shared" si="2"/>
        <v>6568.17</v>
      </c>
      <c r="M54" s="21">
        <f t="shared" si="3"/>
        <v>3721.963</v>
      </c>
      <c r="N54" s="21">
        <f t="shared" si="4"/>
        <v>3503.024</v>
      </c>
      <c r="O54" s="511">
        <f t="shared" si="7"/>
        <v>656.817</v>
      </c>
      <c r="P54" s="505">
        <f t="shared" si="6"/>
        <v>1836.374225</v>
      </c>
      <c r="Q54" s="508"/>
    </row>
    <row r="55" spans="1:17" ht="22.5" customHeight="1">
      <c r="A55" s="70"/>
      <c r="B55" s="70">
        <v>6</v>
      </c>
      <c r="C55" s="71">
        <v>10000</v>
      </c>
      <c r="D55" s="70" t="s">
        <v>264</v>
      </c>
      <c r="E55" s="574">
        <v>1380</v>
      </c>
      <c r="F55" s="87" t="s">
        <v>37</v>
      </c>
      <c r="G55" s="80">
        <v>1200</v>
      </c>
      <c r="H55" s="80">
        <f t="shared" si="8"/>
        <v>5194.254800000001</v>
      </c>
      <c r="I55" s="511">
        <f t="shared" si="1"/>
        <v>13999.2</v>
      </c>
      <c r="J55" s="511">
        <f>Ctrl!$J$6</f>
        <v>218939</v>
      </c>
      <c r="K55" s="511"/>
      <c r="L55" s="21">
        <f t="shared" si="2"/>
        <v>6568.17</v>
      </c>
      <c r="M55" s="21">
        <f t="shared" si="3"/>
        <v>3721.963</v>
      </c>
      <c r="N55" s="21">
        <f t="shared" si="4"/>
        <v>3503.024</v>
      </c>
      <c r="O55" s="511">
        <f t="shared" si="7"/>
        <v>656.817</v>
      </c>
      <c r="P55" s="505">
        <f t="shared" si="6"/>
        <v>1798.8972</v>
      </c>
      <c r="Q55" s="505"/>
    </row>
    <row r="56" spans="1:17" ht="22.5" customHeight="1">
      <c r="A56" s="359"/>
      <c r="B56" s="359">
        <v>7</v>
      </c>
      <c r="C56" s="360">
        <v>10000</v>
      </c>
      <c r="D56" s="359" t="s">
        <v>264</v>
      </c>
      <c r="E56" s="361">
        <v>1380</v>
      </c>
      <c r="F56" s="86" t="s">
        <v>247</v>
      </c>
      <c r="G56" s="91">
        <v>1175</v>
      </c>
      <c r="H56" s="91">
        <f t="shared" si="8"/>
        <v>4940.081825000001</v>
      </c>
      <c r="I56" s="511">
        <f t="shared" si="1"/>
        <v>13707.550000000001</v>
      </c>
      <c r="J56" s="511">
        <f>Ctrl!$J$6</f>
        <v>218939</v>
      </c>
      <c r="K56" s="511"/>
      <c r="L56" s="21">
        <f t="shared" si="2"/>
        <v>6568.17</v>
      </c>
      <c r="M56" s="21">
        <f t="shared" si="3"/>
        <v>3721.963</v>
      </c>
      <c r="N56" s="21">
        <f t="shared" si="4"/>
        <v>3503.024</v>
      </c>
      <c r="O56" s="511">
        <f t="shared" si="7"/>
        <v>656.817</v>
      </c>
      <c r="P56" s="505">
        <f t="shared" si="6"/>
        <v>1761.4201750000002</v>
      </c>
      <c r="Q56" s="505"/>
    </row>
    <row r="57" spans="1:17" ht="22.5" customHeight="1">
      <c r="A57" s="36"/>
      <c r="B57" s="36">
        <v>8</v>
      </c>
      <c r="C57" s="55">
        <v>10000</v>
      </c>
      <c r="D57" s="36" t="s">
        <v>264</v>
      </c>
      <c r="E57" s="57">
        <v>1380</v>
      </c>
      <c r="F57" s="57" t="s">
        <v>418</v>
      </c>
      <c r="G57" s="78">
        <v>1150</v>
      </c>
      <c r="H57" s="77">
        <f t="shared" si="8"/>
        <v>4685.90885</v>
      </c>
      <c r="I57" s="511">
        <f t="shared" si="1"/>
        <v>13415.9</v>
      </c>
      <c r="J57" s="511">
        <f>Ctrl!$J$6</f>
        <v>218939</v>
      </c>
      <c r="K57" s="511"/>
      <c r="L57" s="21">
        <f t="shared" si="2"/>
        <v>6568.17</v>
      </c>
      <c r="M57" s="21">
        <f t="shared" si="3"/>
        <v>3721.963</v>
      </c>
      <c r="N57" s="21">
        <f t="shared" si="4"/>
        <v>3503.024</v>
      </c>
      <c r="O57" s="511">
        <f t="shared" si="7"/>
        <v>656.817</v>
      </c>
      <c r="P57" s="505">
        <f t="shared" si="6"/>
        <v>1723.94315</v>
      </c>
      <c r="Q57" s="505"/>
    </row>
    <row r="58" spans="1:17" ht="22.5" customHeight="1">
      <c r="A58" s="445"/>
      <c r="B58" s="445">
        <v>9</v>
      </c>
      <c r="C58" s="446">
        <v>10000</v>
      </c>
      <c r="D58" s="445" t="s">
        <v>264</v>
      </c>
      <c r="E58" s="447">
        <v>1380</v>
      </c>
      <c r="F58" s="448" t="s">
        <v>236</v>
      </c>
      <c r="G58" s="449">
        <v>1175</v>
      </c>
      <c r="H58" s="616">
        <f t="shared" si="8"/>
        <v>4940.081825000001</v>
      </c>
      <c r="I58" s="511">
        <f t="shared" si="1"/>
        <v>13707.550000000001</v>
      </c>
      <c r="J58" s="511">
        <f>Ctrl!$J$6</f>
        <v>218939</v>
      </c>
      <c r="K58" s="511"/>
      <c r="L58" s="21">
        <f t="shared" si="2"/>
        <v>6568.17</v>
      </c>
      <c r="M58" s="21">
        <f t="shared" si="3"/>
        <v>3721.963</v>
      </c>
      <c r="N58" s="21">
        <f t="shared" si="4"/>
        <v>3503.024</v>
      </c>
      <c r="O58" s="511">
        <f t="shared" si="7"/>
        <v>656.817</v>
      </c>
      <c r="P58" s="505">
        <f t="shared" si="6"/>
        <v>1761.4201750000002</v>
      </c>
      <c r="Q58" s="505"/>
    </row>
    <row r="59" spans="1:17" ht="22.5" customHeight="1">
      <c r="A59" s="39"/>
      <c r="B59" s="39">
        <v>10</v>
      </c>
      <c r="C59" s="51">
        <v>10000</v>
      </c>
      <c r="D59" s="39" t="s">
        <v>264</v>
      </c>
      <c r="E59" s="58">
        <v>1380</v>
      </c>
      <c r="F59" s="58" t="s">
        <v>147</v>
      </c>
      <c r="G59" s="99">
        <v>1225</v>
      </c>
      <c r="H59" s="617">
        <f t="shared" si="8"/>
        <v>5448.427775</v>
      </c>
      <c r="I59" s="511">
        <f t="shared" si="1"/>
        <v>14290.85</v>
      </c>
      <c r="J59" s="511">
        <f>Ctrl!$J$6</f>
        <v>218939</v>
      </c>
      <c r="K59" s="511"/>
      <c r="L59" s="21">
        <f t="shared" si="2"/>
        <v>6568.17</v>
      </c>
      <c r="M59" s="21">
        <f t="shared" si="3"/>
        <v>3721.963</v>
      </c>
      <c r="N59" s="21">
        <f t="shared" si="4"/>
        <v>3503.024</v>
      </c>
      <c r="O59" s="511">
        <f t="shared" si="7"/>
        <v>656.817</v>
      </c>
      <c r="P59" s="505">
        <f t="shared" si="6"/>
        <v>1836.374225</v>
      </c>
      <c r="Q59" s="505"/>
    </row>
    <row r="60" spans="1:17" ht="22.5" customHeight="1">
      <c r="A60" s="25"/>
      <c r="B60" s="25">
        <v>11</v>
      </c>
      <c r="C60" s="37">
        <v>10000</v>
      </c>
      <c r="D60" s="25" t="s">
        <v>264</v>
      </c>
      <c r="E60" s="59">
        <v>1380</v>
      </c>
      <c r="F60" s="59" t="s">
        <v>146</v>
      </c>
      <c r="G60" s="81">
        <v>1250</v>
      </c>
      <c r="H60" s="81">
        <f t="shared" si="8"/>
        <v>5702.6007500000005</v>
      </c>
      <c r="I60" s="511">
        <f t="shared" si="1"/>
        <v>14582.5</v>
      </c>
      <c r="J60" s="511">
        <f>Ctrl!$J$6</f>
        <v>218939</v>
      </c>
      <c r="K60" s="511"/>
      <c r="L60" s="21">
        <f t="shared" si="2"/>
        <v>6568.17</v>
      </c>
      <c r="M60" s="21">
        <f t="shared" si="3"/>
        <v>3721.963</v>
      </c>
      <c r="N60" s="21">
        <f t="shared" si="4"/>
        <v>3503.024</v>
      </c>
      <c r="O60" s="511">
        <f t="shared" si="7"/>
        <v>656.817</v>
      </c>
      <c r="P60" s="505">
        <f t="shared" si="6"/>
        <v>1873.85125</v>
      </c>
      <c r="Q60" s="505"/>
    </row>
    <row r="61" spans="1:17" ht="22.5" customHeight="1">
      <c r="A61" s="70"/>
      <c r="B61" s="70">
        <v>12</v>
      </c>
      <c r="C61" s="71">
        <v>15000</v>
      </c>
      <c r="D61" s="70" t="s">
        <v>264</v>
      </c>
      <c r="E61" s="574">
        <v>1380</v>
      </c>
      <c r="F61" s="574" t="s">
        <v>37</v>
      </c>
      <c r="G61" s="80">
        <v>1235</v>
      </c>
      <c r="H61" s="80">
        <f t="shared" si="8"/>
        <v>5550.096965000001</v>
      </c>
      <c r="I61" s="511">
        <f t="shared" si="1"/>
        <v>14407.51</v>
      </c>
      <c r="J61" s="511">
        <f>Ctrl!$J$6</f>
        <v>218939</v>
      </c>
      <c r="K61" s="511"/>
      <c r="L61" s="21">
        <f t="shared" si="2"/>
        <v>6568.17</v>
      </c>
      <c r="M61" s="21">
        <f t="shared" si="3"/>
        <v>3721.963</v>
      </c>
      <c r="N61" s="21">
        <f t="shared" si="4"/>
        <v>3503.024</v>
      </c>
      <c r="O61" s="511">
        <f t="shared" si="7"/>
        <v>656.817</v>
      </c>
      <c r="P61" s="505">
        <f t="shared" si="6"/>
        <v>1851.365035</v>
      </c>
      <c r="Q61" s="505"/>
    </row>
    <row r="62" spans="1:17" ht="22.5" customHeight="1">
      <c r="A62" s="36"/>
      <c r="B62" s="36">
        <v>13</v>
      </c>
      <c r="C62" s="55">
        <v>15000</v>
      </c>
      <c r="D62" s="36" t="s">
        <v>264</v>
      </c>
      <c r="E62" s="57">
        <v>1380</v>
      </c>
      <c r="F62" s="57" t="s">
        <v>145</v>
      </c>
      <c r="G62" s="77">
        <v>1185</v>
      </c>
      <c r="H62" s="77">
        <f t="shared" si="8"/>
        <v>5041.751015000001</v>
      </c>
      <c r="I62" s="511">
        <f t="shared" si="1"/>
        <v>13824.210000000001</v>
      </c>
      <c r="J62" s="511">
        <f>Ctrl!$J$6</f>
        <v>218939</v>
      </c>
      <c r="K62" s="511"/>
      <c r="L62" s="21">
        <f t="shared" si="2"/>
        <v>6568.17</v>
      </c>
      <c r="M62" s="21">
        <f t="shared" si="3"/>
        <v>3721.963</v>
      </c>
      <c r="N62" s="21">
        <f t="shared" si="4"/>
        <v>3503.024</v>
      </c>
      <c r="O62" s="511">
        <f t="shared" si="7"/>
        <v>656.817</v>
      </c>
      <c r="P62" s="505">
        <f t="shared" si="6"/>
        <v>1776.4109850000002</v>
      </c>
      <c r="Q62" s="505"/>
    </row>
    <row r="63" spans="1:17" ht="22.5" customHeight="1">
      <c r="A63" s="445"/>
      <c r="B63" s="445">
        <v>14</v>
      </c>
      <c r="C63" s="446">
        <v>15000</v>
      </c>
      <c r="D63" s="445" t="s">
        <v>264</v>
      </c>
      <c r="E63" s="447">
        <v>1380</v>
      </c>
      <c r="F63" s="450" t="s">
        <v>276</v>
      </c>
      <c r="G63" s="449">
        <v>1210</v>
      </c>
      <c r="H63" s="616">
        <f t="shared" si="8"/>
        <v>5295.923990000001</v>
      </c>
      <c r="I63" s="511">
        <f t="shared" si="1"/>
        <v>14115.86</v>
      </c>
      <c r="J63" s="511">
        <f>Ctrl!$J$6</f>
        <v>218939</v>
      </c>
      <c r="K63" s="511"/>
      <c r="L63" s="21">
        <f t="shared" si="2"/>
        <v>6568.17</v>
      </c>
      <c r="M63" s="21">
        <f t="shared" si="3"/>
        <v>3721.963</v>
      </c>
      <c r="N63" s="21">
        <f t="shared" si="4"/>
        <v>3503.024</v>
      </c>
      <c r="O63" s="511">
        <f t="shared" si="7"/>
        <v>656.817</v>
      </c>
      <c r="P63" s="505">
        <f t="shared" si="6"/>
        <v>1813.8880100000001</v>
      </c>
      <c r="Q63" s="505"/>
    </row>
    <row r="64" spans="1:17" ht="22.5" customHeight="1">
      <c r="A64" s="39"/>
      <c r="B64" s="39">
        <v>15</v>
      </c>
      <c r="C64" s="51">
        <v>15000</v>
      </c>
      <c r="D64" s="39" t="s">
        <v>264</v>
      </c>
      <c r="E64" s="58">
        <v>1380</v>
      </c>
      <c r="F64" s="58" t="s">
        <v>147</v>
      </c>
      <c r="G64" s="99">
        <v>1260</v>
      </c>
      <c r="H64" s="617">
        <f t="shared" si="8"/>
        <v>5804.26994</v>
      </c>
      <c r="I64" s="511">
        <f t="shared" si="1"/>
        <v>14699.16</v>
      </c>
      <c r="J64" s="511">
        <f>Ctrl!$J$6</f>
        <v>218939</v>
      </c>
      <c r="K64" s="511"/>
      <c r="L64" s="21">
        <f t="shared" si="2"/>
        <v>6568.17</v>
      </c>
      <c r="M64" s="21">
        <f t="shared" si="3"/>
        <v>3721.963</v>
      </c>
      <c r="N64" s="21">
        <f t="shared" si="4"/>
        <v>3503.024</v>
      </c>
      <c r="O64" s="511">
        <f t="shared" si="7"/>
        <v>656.817</v>
      </c>
      <c r="P64" s="505">
        <f t="shared" si="6"/>
        <v>1888.84206</v>
      </c>
      <c r="Q64" s="505"/>
    </row>
    <row r="65" spans="1:17" ht="22.5" customHeight="1">
      <c r="A65" s="22"/>
      <c r="B65" s="25">
        <v>16</v>
      </c>
      <c r="C65" s="37">
        <v>15000</v>
      </c>
      <c r="D65" s="25" t="s">
        <v>264</v>
      </c>
      <c r="E65" s="59">
        <v>1380</v>
      </c>
      <c r="F65" s="59" t="s">
        <v>146</v>
      </c>
      <c r="G65" s="81">
        <v>1285</v>
      </c>
      <c r="H65" s="81">
        <f t="shared" si="8"/>
        <v>6058.442915000001</v>
      </c>
      <c r="I65" s="511">
        <f t="shared" si="1"/>
        <v>14990.810000000001</v>
      </c>
      <c r="J65" s="511">
        <f>Ctrl!$J$6</f>
        <v>218939</v>
      </c>
      <c r="K65" s="511"/>
      <c r="L65" s="21">
        <f t="shared" si="2"/>
        <v>6568.17</v>
      </c>
      <c r="M65" s="21">
        <f t="shared" si="3"/>
        <v>3721.963</v>
      </c>
      <c r="N65" s="21">
        <f t="shared" si="4"/>
        <v>3503.024</v>
      </c>
      <c r="O65" s="511">
        <f t="shared" si="7"/>
        <v>656.817</v>
      </c>
      <c r="P65" s="505">
        <f t="shared" si="6"/>
        <v>1926.3190850000003</v>
      </c>
      <c r="Q65" s="505"/>
    </row>
    <row r="66" spans="1:17" ht="22.5" customHeight="1">
      <c r="A66" s="70"/>
      <c r="B66" s="70">
        <v>17</v>
      </c>
      <c r="C66" s="71">
        <v>20000</v>
      </c>
      <c r="D66" s="70" t="s">
        <v>264</v>
      </c>
      <c r="E66" s="574">
        <v>1380</v>
      </c>
      <c r="F66" s="574" t="s">
        <v>37</v>
      </c>
      <c r="G66" s="80">
        <v>1260</v>
      </c>
      <c r="H66" s="80">
        <f t="shared" si="8"/>
        <v>5804.26994</v>
      </c>
      <c r="I66" s="511">
        <f t="shared" si="1"/>
        <v>14699.16</v>
      </c>
      <c r="J66" s="511">
        <f>Ctrl!$J$6</f>
        <v>218939</v>
      </c>
      <c r="K66" s="511"/>
      <c r="L66" s="21">
        <f t="shared" si="2"/>
        <v>6568.17</v>
      </c>
      <c r="M66" s="21">
        <f t="shared" si="3"/>
        <v>3721.963</v>
      </c>
      <c r="N66" s="21">
        <f t="shared" si="4"/>
        <v>3503.024</v>
      </c>
      <c r="O66" s="511">
        <f t="shared" si="7"/>
        <v>656.817</v>
      </c>
      <c r="P66" s="505">
        <f t="shared" si="6"/>
        <v>1888.84206</v>
      </c>
      <c r="Q66" s="505"/>
    </row>
    <row r="67" spans="1:17" ht="22.5" customHeight="1">
      <c r="A67" s="36"/>
      <c r="B67" s="36">
        <v>18</v>
      </c>
      <c r="C67" s="55">
        <v>20000</v>
      </c>
      <c r="D67" s="36" t="s">
        <v>264</v>
      </c>
      <c r="E67" s="57">
        <v>1380</v>
      </c>
      <c r="F67" s="57" t="s">
        <v>145</v>
      </c>
      <c r="G67" s="77">
        <v>1210</v>
      </c>
      <c r="H67" s="77">
        <f t="shared" si="8"/>
        <v>5295.923990000001</v>
      </c>
      <c r="I67" s="511">
        <f t="shared" si="1"/>
        <v>14115.86</v>
      </c>
      <c r="J67" s="511">
        <f>Ctrl!$J$6</f>
        <v>218939</v>
      </c>
      <c r="K67" s="511"/>
      <c r="L67" s="21">
        <f t="shared" si="2"/>
        <v>6568.17</v>
      </c>
      <c r="M67" s="21">
        <f t="shared" si="3"/>
        <v>3721.963</v>
      </c>
      <c r="N67" s="21">
        <f t="shared" si="4"/>
        <v>3503.024</v>
      </c>
      <c r="O67" s="511">
        <f t="shared" si="7"/>
        <v>656.817</v>
      </c>
      <c r="P67" s="505">
        <f t="shared" si="6"/>
        <v>1813.8880100000001</v>
      </c>
      <c r="Q67" s="505"/>
    </row>
    <row r="68" spans="1:17" ht="22.5" customHeight="1">
      <c r="A68" s="445"/>
      <c r="B68" s="445">
        <v>19</v>
      </c>
      <c r="C68" s="446">
        <v>20000</v>
      </c>
      <c r="D68" s="445" t="s">
        <v>264</v>
      </c>
      <c r="E68" s="447">
        <v>1380</v>
      </c>
      <c r="F68" s="448" t="s">
        <v>363</v>
      </c>
      <c r="G68" s="449">
        <v>1235</v>
      </c>
      <c r="H68" s="616">
        <f t="shared" si="8"/>
        <v>5550.096965000001</v>
      </c>
      <c r="I68" s="511">
        <f t="shared" si="1"/>
        <v>14407.51</v>
      </c>
      <c r="J68" s="511">
        <f>Ctrl!$J$6</f>
        <v>218939</v>
      </c>
      <c r="K68" s="511"/>
      <c r="L68" s="21">
        <f t="shared" si="2"/>
        <v>6568.17</v>
      </c>
      <c r="M68" s="21">
        <f t="shared" si="3"/>
        <v>3721.963</v>
      </c>
      <c r="N68" s="21">
        <f t="shared" si="4"/>
        <v>3503.024</v>
      </c>
      <c r="O68" s="511">
        <f t="shared" si="7"/>
        <v>656.817</v>
      </c>
      <c r="P68" s="505">
        <f t="shared" si="6"/>
        <v>1851.365035</v>
      </c>
      <c r="Q68" s="505"/>
    </row>
    <row r="69" spans="1:17" ht="22.5" customHeight="1">
      <c r="A69" s="39"/>
      <c r="B69" s="38">
        <v>20</v>
      </c>
      <c r="C69" s="51">
        <v>20000</v>
      </c>
      <c r="D69" s="39" t="s">
        <v>264</v>
      </c>
      <c r="E69" s="58">
        <v>1380</v>
      </c>
      <c r="F69" s="58" t="s">
        <v>147</v>
      </c>
      <c r="G69" s="99">
        <v>1285</v>
      </c>
      <c r="H69" s="617">
        <f t="shared" si="8"/>
        <v>6058.442915000001</v>
      </c>
      <c r="I69" s="511">
        <f t="shared" si="1"/>
        <v>14990.810000000001</v>
      </c>
      <c r="J69" s="511">
        <f>Ctrl!$J$6</f>
        <v>218939</v>
      </c>
      <c r="K69" s="511"/>
      <c r="L69" s="21">
        <f t="shared" si="2"/>
        <v>6568.17</v>
      </c>
      <c r="M69" s="21">
        <f t="shared" si="3"/>
        <v>3721.963</v>
      </c>
      <c r="N69" s="21">
        <f t="shared" si="4"/>
        <v>3503.024</v>
      </c>
      <c r="O69" s="511">
        <f t="shared" si="7"/>
        <v>656.817</v>
      </c>
      <c r="P69" s="505">
        <f t="shared" si="6"/>
        <v>1926.3190850000003</v>
      </c>
      <c r="Q69" s="505"/>
    </row>
    <row r="70" spans="1:17" ht="22.5" customHeight="1">
      <c r="A70" s="25"/>
      <c r="B70" s="25">
        <v>21</v>
      </c>
      <c r="C70" s="37">
        <v>20000</v>
      </c>
      <c r="D70" s="25" t="s">
        <v>264</v>
      </c>
      <c r="E70" s="59">
        <v>1380</v>
      </c>
      <c r="F70" s="576" t="s">
        <v>146</v>
      </c>
      <c r="G70" s="81">
        <v>1310</v>
      </c>
      <c r="H70" s="81">
        <f t="shared" si="8"/>
        <v>6312.61589</v>
      </c>
      <c r="I70" s="511">
        <f aca="true" t="shared" si="9" ref="I70:I133">G70*$I$2</f>
        <v>15282.460000000001</v>
      </c>
      <c r="J70" s="511">
        <f>Ctrl!$J$6</f>
        <v>218939</v>
      </c>
      <c r="K70" s="511"/>
      <c r="L70" s="21">
        <f aca="true" t="shared" si="10" ref="L70:L133">$L$2*J70</f>
        <v>6568.17</v>
      </c>
      <c r="M70" s="21">
        <f aca="true" t="shared" si="11" ref="M70:M133">$M$2*J70</f>
        <v>3721.963</v>
      </c>
      <c r="N70" s="21">
        <f aca="true" t="shared" si="12" ref="N70:N133">$N$2*J70</f>
        <v>3503.024</v>
      </c>
      <c r="O70" s="511">
        <f t="shared" si="7"/>
        <v>656.817</v>
      </c>
      <c r="P70" s="505">
        <f aca="true" t="shared" si="13" ref="P70:P133">$P$2*I70</f>
        <v>1963.7961100000002</v>
      </c>
      <c r="Q70" s="505"/>
    </row>
    <row r="71" spans="1:17" ht="22.5" customHeight="1">
      <c r="A71" s="39"/>
      <c r="B71" s="38">
        <v>22</v>
      </c>
      <c r="C71" s="54">
        <v>20000</v>
      </c>
      <c r="D71" s="38" t="s">
        <v>264</v>
      </c>
      <c r="E71" s="89">
        <v>1380</v>
      </c>
      <c r="F71" s="88" t="s">
        <v>366</v>
      </c>
      <c r="G71" s="82">
        <v>1335</v>
      </c>
      <c r="H71" s="82">
        <f t="shared" si="8"/>
        <v>6566.788865000001</v>
      </c>
      <c r="I71" s="511">
        <f t="shared" si="9"/>
        <v>15574.11</v>
      </c>
      <c r="J71" s="511">
        <f>Ctrl!$J$6</f>
        <v>218939</v>
      </c>
      <c r="K71" s="511"/>
      <c r="L71" s="21">
        <f t="shared" si="10"/>
        <v>6568.17</v>
      </c>
      <c r="M71" s="21">
        <f t="shared" si="11"/>
        <v>3721.963</v>
      </c>
      <c r="N71" s="21">
        <f t="shared" si="12"/>
        <v>3503.024</v>
      </c>
      <c r="O71" s="511">
        <f t="shared" si="7"/>
        <v>656.817</v>
      </c>
      <c r="P71" s="505">
        <f t="shared" si="13"/>
        <v>2001.2731350000001</v>
      </c>
      <c r="Q71" s="505"/>
    </row>
    <row r="72" spans="1:17" ht="22.5" customHeight="1">
      <c r="A72" s="70"/>
      <c r="B72" s="70">
        <v>23</v>
      </c>
      <c r="C72" s="71">
        <v>25000</v>
      </c>
      <c r="D72" s="70" t="s">
        <v>264</v>
      </c>
      <c r="E72" s="574">
        <v>1380</v>
      </c>
      <c r="F72" s="574" t="s">
        <v>37</v>
      </c>
      <c r="G72" s="80">
        <v>1275</v>
      </c>
      <c r="H72" s="80">
        <f t="shared" si="8"/>
        <v>5956.773725</v>
      </c>
      <c r="I72" s="511">
        <f t="shared" si="9"/>
        <v>14874.15</v>
      </c>
      <c r="J72" s="511">
        <f>Ctrl!$J$6</f>
        <v>218939</v>
      </c>
      <c r="K72" s="511"/>
      <c r="L72" s="21">
        <f t="shared" si="10"/>
        <v>6568.17</v>
      </c>
      <c r="M72" s="21">
        <f t="shared" si="11"/>
        <v>3721.963</v>
      </c>
      <c r="N72" s="21">
        <f t="shared" si="12"/>
        <v>3503.024</v>
      </c>
      <c r="O72" s="511">
        <f t="shared" si="7"/>
        <v>656.817</v>
      </c>
      <c r="P72" s="505">
        <f t="shared" si="13"/>
        <v>1911.328275</v>
      </c>
      <c r="Q72" s="505"/>
    </row>
    <row r="73" spans="1:17" ht="22.5" customHeight="1">
      <c r="A73" s="36"/>
      <c r="B73" s="36">
        <v>24</v>
      </c>
      <c r="C73" s="55">
        <v>25000</v>
      </c>
      <c r="D73" s="36" t="s">
        <v>264</v>
      </c>
      <c r="E73" s="57">
        <v>1380</v>
      </c>
      <c r="F73" s="57" t="s">
        <v>145</v>
      </c>
      <c r="G73" s="77">
        <v>1225</v>
      </c>
      <c r="H73" s="77">
        <f t="shared" si="8"/>
        <v>5448.427775</v>
      </c>
      <c r="I73" s="511">
        <f t="shared" si="9"/>
        <v>14290.85</v>
      </c>
      <c r="J73" s="511">
        <f>Ctrl!$J$6</f>
        <v>218939</v>
      </c>
      <c r="K73" s="511"/>
      <c r="L73" s="21">
        <f t="shared" si="10"/>
        <v>6568.17</v>
      </c>
      <c r="M73" s="21">
        <f t="shared" si="11"/>
        <v>3721.963</v>
      </c>
      <c r="N73" s="21">
        <f t="shared" si="12"/>
        <v>3503.024</v>
      </c>
      <c r="O73" s="511">
        <f t="shared" si="7"/>
        <v>656.817</v>
      </c>
      <c r="P73" s="505">
        <f t="shared" si="13"/>
        <v>1836.374225</v>
      </c>
      <c r="Q73" s="505"/>
    </row>
    <row r="74" spans="1:17" ht="22.5" customHeight="1">
      <c r="A74" s="445"/>
      <c r="B74" s="445">
        <v>25</v>
      </c>
      <c r="C74" s="446">
        <v>25000</v>
      </c>
      <c r="D74" s="445" t="s">
        <v>264</v>
      </c>
      <c r="E74" s="447">
        <v>1380</v>
      </c>
      <c r="F74" s="450" t="s">
        <v>276</v>
      </c>
      <c r="G74" s="449">
        <v>1250</v>
      </c>
      <c r="H74" s="616">
        <f t="shared" si="8"/>
        <v>5702.6007500000005</v>
      </c>
      <c r="I74" s="511">
        <f t="shared" si="9"/>
        <v>14582.5</v>
      </c>
      <c r="J74" s="511">
        <f>Ctrl!$J$6</f>
        <v>218939</v>
      </c>
      <c r="K74" s="511"/>
      <c r="L74" s="21">
        <f t="shared" si="10"/>
        <v>6568.17</v>
      </c>
      <c r="M74" s="21">
        <f t="shared" si="11"/>
        <v>3721.963</v>
      </c>
      <c r="N74" s="21">
        <f t="shared" si="12"/>
        <v>3503.024</v>
      </c>
      <c r="O74" s="511">
        <f t="shared" si="7"/>
        <v>656.817</v>
      </c>
      <c r="P74" s="505">
        <f t="shared" si="13"/>
        <v>1873.85125</v>
      </c>
      <c r="Q74" s="505"/>
    </row>
    <row r="75" spans="1:16" ht="22.5" customHeight="1">
      <c r="A75" s="39"/>
      <c r="B75" s="39">
        <v>26</v>
      </c>
      <c r="C75" s="51">
        <v>25000</v>
      </c>
      <c r="D75" s="39" t="s">
        <v>264</v>
      </c>
      <c r="E75" s="58">
        <v>1380</v>
      </c>
      <c r="F75" s="58" t="s">
        <v>147</v>
      </c>
      <c r="G75" s="99">
        <v>1300</v>
      </c>
      <c r="H75" s="617">
        <f t="shared" si="8"/>
        <v>6210.946700000001</v>
      </c>
      <c r="I75" s="511">
        <f t="shared" si="9"/>
        <v>15165.800000000001</v>
      </c>
      <c r="J75" s="511">
        <f>Ctrl!$J$6</f>
        <v>218939</v>
      </c>
      <c r="L75" s="21">
        <f t="shared" si="10"/>
        <v>6568.17</v>
      </c>
      <c r="M75" s="21">
        <f t="shared" si="11"/>
        <v>3721.963</v>
      </c>
      <c r="N75" s="21">
        <f t="shared" si="12"/>
        <v>3503.024</v>
      </c>
      <c r="O75" s="511">
        <f t="shared" si="7"/>
        <v>656.817</v>
      </c>
      <c r="P75" s="505">
        <f t="shared" si="13"/>
        <v>1948.8053000000002</v>
      </c>
    </row>
    <row r="76" spans="1:16" ht="22.5" customHeight="1">
      <c r="A76" s="25"/>
      <c r="B76" s="25">
        <v>27</v>
      </c>
      <c r="C76" s="37">
        <v>25000</v>
      </c>
      <c r="D76" s="25" t="s">
        <v>264</v>
      </c>
      <c r="E76" s="59">
        <v>1380</v>
      </c>
      <c r="F76" s="59" t="s">
        <v>146</v>
      </c>
      <c r="G76" s="81">
        <v>1325</v>
      </c>
      <c r="H76" s="81">
        <f t="shared" si="8"/>
        <v>6465.119675000002</v>
      </c>
      <c r="I76" s="511">
        <f t="shared" si="9"/>
        <v>15457.45</v>
      </c>
      <c r="J76" s="511">
        <f>Ctrl!$J$6</f>
        <v>218939</v>
      </c>
      <c r="L76" s="21">
        <f t="shared" si="10"/>
        <v>6568.17</v>
      </c>
      <c r="M76" s="21">
        <f t="shared" si="11"/>
        <v>3721.963</v>
      </c>
      <c r="N76" s="21">
        <f t="shared" si="12"/>
        <v>3503.024</v>
      </c>
      <c r="O76" s="511">
        <f t="shared" si="7"/>
        <v>656.817</v>
      </c>
      <c r="P76" s="505">
        <f t="shared" si="13"/>
        <v>1986.2823250000001</v>
      </c>
    </row>
    <row r="77" spans="1:16" ht="22.5" customHeight="1">
      <c r="A77" s="38"/>
      <c r="B77" s="38">
        <v>28</v>
      </c>
      <c r="C77" s="54">
        <v>25000</v>
      </c>
      <c r="D77" s="38" t="s">
        <v>264</v>
      </c>
      <c r="E77" s="58">
        <v>1380</v>
      </c>
      <c r="F77" s="88" t="s">
        <v>366</v>
      </c>
      <c r="G77" s="82">
        <v>1350</v>
      </c>
      <c r="H77" s="617">
        <f t="shared" si="8"/>
        <v>6719.292649999999</v>
      </c>
      <c r="I77" s="511">
        <f t="shared" si="9"/>
        <v>15749.1</v>
      </c>
      <c r="J77" s="511">
        <f>Ctrl!$J$6</f>
        <v>218939</v>
      </c>
      <c r="L77" s="21">
        <f t="shared" si="10"/>
        <v>6568.17</v>
      </c>
      <c r="M77" s="21">
        <f t="shared" si="11"/>
        <v>3721.963</v>
      </c>
      <c r="N77" s="21">
        <f t="shared" si="12"/>
        <v>3503.024</v>
      </c>
      <c r="O77" s="511">
        <f t="shared" si="7"/>
        <v>656.817</v>
      </c>
      <c r="P77" s="505">
        <f t="shared" si="13"/>
        <v>2023.75935</v>
      </c>
    </row>
    <row r="78" spans="1:17" ht="22.5" customHeight="1">
      <c r="A78" s="515"/>
      <c r="B78" s="70">
        <v>29</v>
      </c>
      <c r="C78" s="71">
        <v>30000</v>
      </c>
      <c r="D78" s="70" t="s">
        <v>264</v>
      </c>
      <c r="E78" s="574">
        <v>1380</v>
      </c>
      <c r="F78" s="574" t="s">
        <v>37</v>
      </c>
      <c r="G78" s="80">
        <v>1280</v>
      </c>
      <c r="H78" s="80">
        <f t="shared" si="8"/>
        <v>6007.608319999999</v>
      </c>
      <c r="I78" s="511">
        <f t="shared" si="9"/>
        <v>14932.48</v>
      </c>
      <c r="J78" s="511">
        <f>Ctrl!$J$6</f>
        <v>218939</v>
      </c>
      <c r="K78" s="511"/>
      <c r="L78" s="21">
        <f t="shared" si="10"/>
        <v>6568.17</v>
      </c>
      <c r="M78" s="21">
        <f t="shared" si="11"/>
        <v>3721.963</v>
      </c>
      <c r="N78" s="21">
        <f t="shared" si="12"/>
        <v>3503.024</v>
      </c>
      <c r="O78" s="511">
        <f t="shared" si="7"/>
        <v>656.817</v>
      </c>
      <c r="P78" s="505">
        <f t="shared" si="13"/>
        <v>1918.82368</v>
      </c>
      <c r="Q78" s="505"/>
    </row>
    <row r="79" spans="1:17" ht="22.5" customHeight="1">
      <c r="A79" s="25"/>
      <c r="B79" s="36">
        <v>30</v>
      </c>
      <c r="C79" s="55">
        <v>30000</v>
      </c>
      <c r="D79" s="36" t="s">
        <v>264</v>
      </c>
      <c r="E79" s="57">
        <v>1380</v>
      </c>
      <c r="F79" s="57" t="s">
        <v>145</v>
      </c>
      <c r="G79" s="77">
        <v>1230</v>
      </c>
      <c r="H79" s="77">
        <f t="shared" si="8"/>
        <v>5499.26237</v>
      </c>
      <c r="I79" s="511">
        <f t="shared" si="9"/>
        <v>14349.18</v>
      </c>
      <c r="J79" s="511">
        <f>Ctrl!$J$6</f>
        <v>218939</v>
      </c>
      <c r="K79" s="511"/>
      <c r="L79" s="21">
        <f t="shared" si="10"/>
        <v>6568.17</v>
      </c>
      <c r="M79" s="21">
        <f t="shared" si="11"/>
        <v>3721.963</v>
      </c>
      <c r="N79" s="21">
        <f t="shared" si="12"/>
        <v>3503.024</v>
      </c>
      <c r="O79" s="511">
        <f t="shared" si="7"/>
        <v>656.817</v>
      </c>
      <c r="P79" s="505">
        <f t="shared" si="13"/>
        <v>1843.8696300000001</v>
      </c>
      <c r="Q79" s="505"/>
    </row>
    <row r="80" spans="1:17" ht="22.5" customHeight="1">
      <c r="A80" s="516"/>
      <c r="B80" s="445">
        <v>31</v>
      </c>
      <c r="C80" s="446">
        <v>30000</v>
      </c>
      <c r="D80" s="445" t="s">
        <v>264</v>
      </c>
      <c r="E80" s="447">
        <v>1380</v>
      </c>
      <c r="F80" s="577" t="s">
        <v>276</v>
      </c>
      <c r="G80" s="449">
        <v>1255</v>
      </c>
      <c r="H80" s="616">
        <f t="shared" si="8"/>
        <v>5753.435345</v>
      </c>
      <c r="I80" s="511">
        <f t="shared" si="9"/>
        <v>14640.83</v>
      </c>
      <c r="J80" s="511">
        <f>Ctrl!$J$6</f>
        <v>218939</v>
      </c>
      <c r="K80" s="511"/>
      <c r="L80" s="21">
        <f t="shared" si="10"/>
        <v>6568.17</v>
      </c>
      <c r="M80" s="21">
        <f t="shared" si="11"/>
        <v>3721.963</v>
      </c>
      <c r="N80" s="21">
        <f t="shared" si="12"/>
        <v>3503.024</v>
      </c>
      <c r="O80" s="511">
        <f t="shared" si="7"/>
        <v>656.817</v>
      </c>
      <c r="P80" s="505">
        <f t="shared" si="13"/>
        <v>1881.346655</v>
      </c>
      <c r="Q80" s="505"/>
    </row>
    <row r="81" spans="1:16" ht="22.5" customHeight="1">
      <c r="A81" s="38"/>
      <c r="B81" s="39">
        <v>32</v>
      </c>
      <c r="C81" s="51">
        <v>30000</v>
      </c>
      <c r="D81" s="39" t="s">
        <v>264</v>
      </c>
      <c r="E81" s="58">
        <v>1380</v>
      </c>
      <c r="F81" s="58" t="s">
        <v>147</v>
      </c>
      <c r="G81" s="99">
        <v>1305</v>
      </c>
      <c r="H81" s="617">
        <f t="shared" si="8"/>
        <v>6261.7812950000025</v>
      </c>
      <c r="I81" s="511">
        <f t="shared" si="9"/>
        <v>15224.130000000001</v>
      </c>
      <c r="J81" s="511">
        <f>Ctrl!$J$6</f>
        <v>218939</v>
      </c>
      <c r="L81" s="21">
        <f t="shared" si="10"/>
        <v>6568.17</v>
      </c>
      <c r="M81" s="21">
        <f t="shared" si="11"/>
        <v>3721.963</v>
      </c>
      <c r="N81" s="21">
        <f t="shared" si="12"/>
        <v>3503.024</v>
      </c>
      <c r="O81" s="511">
        <f t="shared" si="7"/>
        <v>656.817</v>
      </c>
      <c r="P81" s="505">
        <f t="shared" si="13"/>
        <v>1956.300705</v>
      </c>
    </row>
    <row r="82" spans="1:16" ht="22.5" customHeight="1">
      <c r="A82" s="25"/>
      <c r="B82" s="49">
        <v>33</v>
      </c>
      <c r="C82" s="37">
        <v>30000</v>
      </c>
      <c r="D82" s="25" t="s">
        <v>264</v>
      </c>
      <c r="E82" s="59">
        <v>1380</v>
      </c>
      <c r="F82" s="59" t="s">
        <v>146</v>
      </c>
      <c r="G82" s="81">
        <v>1330</v>
      </c>
      <c r="H82" s="651">
        <f t="shared" si="8"/>
        <v>6515.95427</v>
      </c>
      <c r="I82" s="511">
        <f t="shared" si="9"/>
        <v>15515.78</v>
      </c>
      <c r="J82" s="511">
        <f>Ctrl!$J$6</f>
        <v>218939</v>
      </c>
      <c r="L82" s="21">
        <f t="shared" si="10"/>
        <v>6568.17</v>
      </c>
      <c r="M82" s="21">
        <f t="shared" si="11"/>
        <v>3721.963</v>
      </c>
      <c r="N82" s="21">
        <f t="shared" si="12"/>
        <v>3503.024</v>
      </c>
      <c r="O82" s="511">
        <f aca="true" t="shared" si="14" ref="O82:O113">$O$2*J82</f>
        <v>656.817</v>
      </c>
      <c r="P82" s="505">
        <f t="shared" si="13"/>
        <v>1993.77773</v>
      </c>
    </row>
    <row r="83" spans="1:16" ht="22.5" customHeight="1">
      <c r="A83" s="38"/>
      <c r="B83" s="38">
        <v>34</v>
      </c>
      <c r="C83" s="54">
        <v>30000</v>
      </c>
      <c r="D83" s="39" t="s">
        <v>264</v>
      </c>
      <c r="E83" s="89">
        <v>1380</v>
      </c>
      <c r="F83" s="88" t="s">
        <v>366</v>
      </c>
      <c r="G83" s="99">
        <v>1355</v>
      </c>
      <c r="H83" s="617">
        <f t="shared" si="8"/>
        <v>6770.1272450000015</v>
      </c>
      <c r="I83" s="511">
        <f t="shared" si="9"/>
        <v>15807.43</v>
      </c>
      <c r="J83" s="511">
        <f>Ctrl!$J$6</f>
        <v>218939</v>
      </c>
      <c r="L83" s="21">
        <f t="shared" si="10"/>
        <v>6568.17</v>
      </c>
      <c r="M83" s="21">
        <f t="shared" si="11"/>
        <v>3721.963</v>
      </c>
      <c r="N83" s="21">
        <f t="shared" si="12"/>
        <v>3503.024</v>
      </c>
      <c r="O83" s="511">
        <f t="shared" si="14"/>
        <v>656.817</v>
      </c>
      <c r="P83" s="505">
        <f t="shared" si="13"/>
        <v>2031.2547550000002</v>
      </c>
    </row>
    <row r="84" spans="1:17" ht="22.5" customHeight="1">
      <c r="A84" s="70"/>
      <c r="B84" s="70">
        <v>35</v>
      </c>
      <c r="C84" s="71">
        <v>31686</v>
      </c>
      <c r="D84" s="70" t="s">
        <v>264</v>
      </c>
      <c r="E84" s="574">
        <v>1380</v>
      </c>
      <c r="F84" s="574" t="s">
        <v>37</v>
      </c>
      <c r="G84" s="80">
        <v>1280</v>
      </c>
      <c r="H84" s="80">
        <f t="shared" si="8"/>
        <v>6007.608319999999</v>
      </c>
      <c r="I84" s="511">
        <f t="shared" si="9"/>
        <v>14932.48</v>
      </c>
      <c r="J84" s="511">
        <f>Ctrl!$J$6</f>
        <v>218939</v>
      </c>
      <c r="K84" s="511"/>
      <c r="L84" s="21">
        <f t="shared" si="10"/>
        <v>6568.17</v>
      </c>
      <c r="M84" s="21">
        <f t="shared" si="11"/>
        <v>3721.963</v>
      </c>
      <c r="N84" s="21">
        <f t="shared" si="12"/>
        <v>3503.024</v>
      </c>
      <c r="O84" s="511">
        <f t="shared" si="14"/>
        <v>656.817</v>
      </c>
      <c r="P84" s="505">
        <f t="shared" si="13"/>
        <v>1918.82368</v>
      </c>
      <c r="Q84" s="505"/>
    </row>
    <row r="85" spans="1:17" ht="22.5" customHeight="1">
      <c r="A85" s="36"/>
      <c r="B85" s="36">
        <v>36</v>
      </c>
      <c r="C85" s="52">
        <v>31686</v>
      </c>
      <c r="D85" s="36" t="s">
        <v>264</v>
      </c>
      <c r="E85" s="57">
        <v>1380</v>
      </c>
      <c r="F85" s="57" t="s">
        <v>145</v>
      </c>
      <c r="G85" s="615">
        <v>1230</v>
      </c>
      <c r="H85" s="77">
        <f t="shared" si="8"/>
        <v>5499.26237</v>
      </c>
      <c r="I85" s="511">
        <f t="shared" si="9"/>
        <v>14349.18</v>
      </c>
      <c r="J85" s="511">
        <f>Ctrl!$J$6</f>
        <v>218939</v>
      </c>
      <c r="K85" s="511"/>
      <c r="L85" s="21">
        <f t="shared" si="10"/>
        <v>6568.17</v>
      </c>
      <c r="M85" s="21">
        <f t="shared" si="11"/>
        <v>3721.963</v>
      </c>
      <c r="N85" s="21">
        <f t="shared" si="12"/>
        <v>3503.024</v>
      </c>
      <c r="O85" s="511">
        <f t="shared" si="14"/>
        <v>656.817</v>
      </c>
      <c r="P85" s="505">
        <f t="shared" si="13"/>
        <v>1843.8696300000001</v>
      </c>
      <c r="Q85" s="505"/>
    </row>
    <row r="86" spans="1:17" ht="22.5" customHeight="1">
      <c r="A86" s="445"/>
      <c r="B86" s="445">
        <v>37</v>
      </c>
      <c r="C86" s="446">
        <v>31686</v>
      </c>
      <c r="D86" s="445" t="s">
        <v>264</v>
      </c>
      <c r="E86" s="447">
        <v>1380</v>
      </c>
      <c r="F86" s="450" t="s">
        <v>276</v>
      </c>
      <c r="G86" s="616">
        <v>1255</v>
      </c>
      <c r="H86" s="616">
        <f aca="true" t="shared" si="15" ref="H86:H117">I86-L86+M86-N86-O86-P86</f>
        <v>5753.435345</v>
      </c>
      <c r="I86" s="511">
        <f t="shared" si="9"/>
        <v>14640.83</v>
      </c>
      <c r="J86" s="511">
        <f>Ctrl!$J$6</f>
        <v>218939</v>
      </c>
      <c r="K86" s="511"/>
      <c r="L86" s="21">
        <f t="shared" si="10"/>
        <v>6568.17</v>
      </c>
      <c r="M86" s="21">
        <f t="shared" si="11"/>
        <v>3721.963</v>
      </c>
      <c r="N86" s="21">
        <f t="shared" si="12"/>
        <v>3503.024</v>
      </c>
      <c r="O86" s="511">
        <f t="shared" si="14"/>
        <v>656.817</v>
      </c>
      <c r="P86" s="505">
        <f t="shared" si="13"/>
        <v>1881.346655</v>
      </c>
      <c r="Q86" s="505"/>
    </row>
    <row r="87" spans="1:17" ht="22.5" customHeight="1">
      <c r="A87" s="39"/>
      <c r="B87" s="39">
        <v>38</v>
      </c>
      <c r="C87" s="51">
        <v>31686</v>
      </c>
      <c r="D87" s="39" t="s">
        <v>264</v>
      </c>
      <c r="E87" s="58">
        <v>1380</v>
      </c>
      <c r="F87" s="58" t="s">
        <v>147</v>
      </c>
      <c r="G87" s="617">
        <v>1305</v>
      </c>
      <c r="H87" s="617">
        <f t="shared" si="15"/>
        <v>6261.7812950000025</v>
      </c>
      <c r="I87" s="511">
        <f t="shared" si="9"/>
        <v>15224.130000000001</v>
      </c>
      <c r="J87" s="511">
        <f>Ctrl!$J$6</f>
        <v>218939</v>
      </c>
      <c r="K87" s="511"/>
      <c r="L87" s="21">
        <f t="shared" si="10"/>
        <v>6568.17</v>
      </c>
      <c r="M87" s="21">
        <f t="shared" si="11"/>
        <v>3721.963</v>
      </c>
      <c r="N87" s="21">
        <f t="shared" si="12"/>
        <v>3503.024</v>
      </c>
      <c r="O87" s="511">
        <f t="shared" si="14"/>
        <v>656.817</v>
      </c>
      <c r="P87" s="505">
        <f t="shared" si="13"/>
        <v>1956.300705</v>
      </c>
      <c r="Q87" s="505"/>
    </row>
    <row r="88" spans="1:17" ht="22.5" customHeight="1">
      <c r="A88" s="25"/>
      <c r="B88" s="49">
        <v>39</v>
      </c>
      <c r="C88" s="37">
        <v>31686</v>
      </c>
      <c r="D88" s="25" t="s">
        <v>264</v>
      </c>
      <c r="E88" s="59">
        <v>1380</v>
      </c>
      <c r="F88" s="576" t="s">
        <v>146</v>
      </c>
      <c r="G88" s="618">
        <v>1330</v>
      </c>
      <c r="H88" s="81">
        <f t="shared" si="15"/>
        <v>6515.95427</v>
      </c>
      <c r="I88" s="511">
        <f t="shared" si="9"/>
        <v>15515.78</v>
      </c>
      <c r="J88" s="511">
        <f>Ctrl!$J$6</f>
        <v>218939</v>
      </c>
      <c r="K88" s="511"/>
      <c r="L88" s="21">
        <f t="shared" si="10"/>
        <v>6568.17</v>
      </c>
      <c r="M88" s="21">
        <f t="shared" si="11"/>
        <v>3721.963</v>
      </c>
      <c r="N88" s="21">
        <f t="shared" si="12"/>
        <v>3503.024</v>
      </c>
      <c r="O88" s="511">
        <f t="shared" si="14"/>
        <v>656.817</v>
      </c>
      <c r="P88" s="505">
        <f t="shared" si="13"/>
        <v>1993.77773</v>
      </c>
      <c r="Q88" s="505"/>
    </row>
    <row r="89" spans="1:17" ht="22.5" customHeight="1">
      <c r="A89" s="70"/>
      <c r="B89" s="70">
        <v>40</v>
      </c>
      <c r="C89" s="71">
        <v>53328</v>
      </c>
      <c r="D89" s="70" t="s">
        <v>264</v>
      </c>
      <c r="E89" s="574">
        <v>1380</v>
      </c>
      <c r="F89" s="574" t="s">
        <v>37</v>
      </c>
      <c r="G89" s="80">
        <v>1280</v>
      </c>
      <c r="H89" s="80">
        <f t="shared" si="15"/>
        <v>6007.608319999999</v>
      </c>
      <c r="I89" s="511">
        <f t="shared" si="9"/>
        <v>14932.48</v>
      </c>
      <c r="J89" s="511">
        <f>Ctrl!$J$6</f>
        <v>218939</v>
      </c>
      <c r="K89" s="511"/>
      <c r="L89" s="21">
        <f t="shared" si="10"/>
        <v>6568.17</v>
      </c>
      <c r="M89" s="21">
        <f t="shared" si="11"/>
        <v>3721.963</v>
      </c>
      <c r="N89" s="21">
        <f t="shared" si="12"/>
        <v>3503.024</v>
      </c>
      <c r="O89" s="511">
        <f t="shared" si="14"/>
        <v>656.817</v>
      </c>
      <c r="P89" s="505">
        <f t="shared" si="13"/>
        <v>1918.82368</v>
      </c>
      <c r="Q89" s="505"/>
    </row>
    <row r="90" spans="1:17" ht="22.5" customHeight="1">
      <c r="A90" s="36"/>
      <c r="B90" s="48">
        <v>41</v>
      </c>
      <c r="C90" s="55">
        <v>53328</v>
      </c>
      <c r="D90" s="36" t="s">
        <v>264</v>
      </c>
      <c r="E90" s="57">
        <v>1380</v>
      </c>
      <c r="F90" s="57" t="s">
        <v>418</v>
      </c>
      <c r="G90" s="77">
        <v>1230</v>
      </c>
      <c r="H90" s="77">
        <f t="shared" si="15"/>
        <v>5499.26237</v>
      </c>
      <c r="I90" s="511">
        <f t="shared" si="9"/>
        <v>14349.18</v>
      </c>
      <c r="J90" s="511">
        <f>Ctrl!$J$6</f>
        <v>218939</v>
      </c>
      <c r="K90" s="511"/>
      <c r="L90" s="21">
        <f t="shared" si="10"/>
        <v>6568.17</v>
      </c>
      <c r="M90" s="21">
        <f t="shared" si="11"/>
        <v>3721.963</v>
      </c>
      <c r="N90" s="21">
        <f t="shared" si="12"/>
        <v>3503.024</v>
      </c>
      <c r="O90" s="511">
        <f t="shared" si="14"/>
        <v>656.817</v>
      </c>
      <c r="P90" s="505">
        <f t="shared" si="13"/>
        <v>1843.8696300000001</v>
      </c>
      <c r="Q90" s="505"/>
    </row>
    <row r="91" spans="1:17" ht="22.5" customHeight="1">
      <c r="A91" s="445"/>
      <c r="B91" s="445">
        <v>42</v>
      </c>
      <c r="C91" s="446">
        <v>53328</v>
      </c>
      <c r="D91" s="445" t="s">
        <v>264</v>
      </c>
      <c r="E91" s="447">
        <v>1380</v>
      </c>
      <c r="F91" s="448" t="s">
        <v>236</v>
      </c>
      <c r="G91" s="449">
        <v>1255</v>
      </c>
      <c r="H91" s="616">
        <f t="shared" si="15"/>
        <v>5753.435345</v>
      </c>
      <c r="I91" s="511">
        <f t="shared" si="9"/>
        <v>14640.83</v>
      </c>
      <c r="J91" s="511">
        <f>Ctrl!$J$6</f>
        <v>218939</v>
      </c>
      <c r="K91" s="511"/>
      <c r="L91" s="21">
        <f t="shared" si="10"/>
        <v>6568.17</v>
      </c>
      <c r="M91" s="21">
        <f t="shared" si="11"/>
        <v>3721.963</v>
      </c>
      <c r="N91" s="21">
        <f t="shared" si="12"/>
        <v>3503.024</v>
      </c>
      <c r="O91" s="511">
        <f t="shared" si="14"/>
        <v>656.817</v>
      </c>
      <c r="P91" s="505">
        <f t="shared" si="13"/>
        <v>1881.346655</v>
      </c>
      <c r="Q91" s="505"/>
    </row>
    <row r="92" spans="1:17" ht="22.5" customHeight="1">
      <c r="A92" s="39"/>
      <c r="B92" s="39">
        <v>43</v>
      </c>
      <c r="C92" s="51">
        <v>53328</v>
      </c>
      <c r="D92" s="39" t="s">
        <v>264</v>
      </c>
      <c r="E92" s="58">
        <v>1380</v>
      </c>
      <c r="F92" s="58" t="s">
        <v>147</v>
      </c>
      <c r="G92" s="99">
        <v>1305</v>
      </c>
      <c r="H92" s="617">
        <f t="shared" si="15"/>
        <v>6261.7812950000025</v>
      </c>
      <c r="I92" s="511">
        <f t="shared" si="9"/>
        <v>15224.130000000001</v>
      </c>
      <c r="J92" s="511">
        <f>Ctrl!$J$6</f>
        <v>218939</v>
      </c>
      <c r="K92" s="511"/>
      <c r="L92" s="21">
        <f t="shared" si="10"/>
        <v>6568.17</v>
      </c>
      <c r="M92" s="21">
        <f t="shared" si="11"/>
        <v>3721.963</v>
      </c>
      <c r="N92" s="21">
        <f t="shared" si="12"/>
        <v>3503.024</v>
      </c>
      <c r="O92" s="511">
        <f t="shared" si="14"/>
        <v>656.817</v>
      </c>
      <c r="P92" s="505">
        <f t="shared" si="13"/>
        <v>1956.300705</v>
      </c>
      <c r="Q92" s="505"/>
    </row>
    <row r="93" spans="1:17" ht="22.5" customHeight="1">
      <c r="A93" s="25"/>
      <c r="B93" s="49">
        <v>44</v>
      </c>
      <c r="C93" s="37">
        <v>53328</v>
      </c>
      <c r="D93" s="25" t="s">
        <v>264</v>
      </c>
      <c r="E93" s="59">
        <v>1380</v>
      </c>
      <c r="F93" s="576" t="s">
        <v>146</v>
      </c>
      <c r="G93" s="81">
        <v>1330</v>
      </c>
      <c r="H93" s="81">
        <f t="shared" si="15"/>
        <v>6515.95427</v>
      </c>
      <c r="I93" s="511">
        <f t="shared" si="9"/>
        <v>15515.78</v>
      </c>
      <c r="J93" s="511">
        <f>Ctrl!$J$6</f>
        <v>218939</v>
      </c>
      <c r="K93" s="511"/>
      <c r="L93" s="21">
        <f t="shared" si="10"/>
        <v>6568.17</v>
      </c>
      <c r="M93" s="21">
        <f t="shared" si="11"/>
        <v>3721.963</v>
      </c>
      <c r="N93" s="21">
        <f t="shared" si="12"/>
        <v>3503.024</v>
      </c>
      <c r="O93" s="511">
        <f t="shared" si="14"/>
        <v>656.817</v>
      </c>
      <c r="P93" s="505">
        <f t="shared" si="13"/>
        <v>1993.77773</v>
      </c>
      <c r="Q93" s="505"/>
    </row>
    <row r="94" spans="1:17" ht="22.5" customHeight="1">
      <c r="A94" s="70"/>
      <c r="B94" s="70">
        <v>1</v>
      </c>
      <c r="C94" s="71">
        <v>7116</v>
      </c>
      <c r="D94" s="620" t="s">
        <v>367</v>
      </c>
      <c r="E94" s="574">
        <v>1825</v>
      </c>
      <c r="F94" s="87" t="s">
        <v>331</v>
      </c>
      <c r="G94" s="80">
        <v>1425</v>
      </c>
      <c r="H94" s="80">
        <f t="shared" si="15"/>
        <v>6494.323575000001</v>
      </c>
      <c r="I94" s="511">
        <f t="shared" si="9"/>
        <v>16624.05</v>
      </c>
      <c r="J94" s="511">
        <f>Ctrl!$J$8</f>
        <v>249798</v>
      </c>
      <c r="K94" s="511"/>
      <c r="L94" s="21">
        <f t="shared" si="10"/>
        <v>7493.94</v>
      </c>
      <c r="M94" s="21">
        <f t="shared" si="11"/>
        <v>4246.566000000001</v>
      </c>
      <c r="N94" s="21">
        <f t="shared" si="12"/>
        <v>3996.768</v>
      </c>
      <c r="O94" s="511">
        <f t="shared" si="14"/>
        <v>749.394</v>
      </c>
      <c r="P94" s="505">
        <f t="shared" si="13"/>
        <v>2136.190425</v>
      </c>
      <c r="Q94" s="505"/>
    </row>
    <row r="95" spans="1:18" ht="22.5" customHeight="1">
      <c r="A95" s="498"/>
      <c r="B95" s="498">
        <v>2</v>
      </c>
      <c r="C95" s="499">
        <v>7116</v>
      </c>
      <c r="D95" s="622" t="s">
        <v>373</v>
      </c>
      <c r="E95" s="500">
        <v>1825</v>
      </c>
      <c r="F95" s="500" t="s">
        <v>90</v>
      </c>
      <c r="G95" s="502">
        <v>1425</v>
      </c>
      <c r="H95" s="502">
        <f t="shared" si="15"/>
        <v>6494.323575000001</v>
      </c>
      <c r="I95" s="511">
        <f t="shared" si="9"/>
        <v>16624.05</v>
      </c>
      <c r="J95" s="511">
        <f>Ctrl!$J$8</f>
        <v>249798</v>
      </c>
      <c r="K95" s="511"/>
      <c r="L95" s="21">
        <f t="shared" si="10"/>
        <v>7493.94</v>
      </c>
      <c r="M95" s="21">
        <f t="shared" si="11"/>
        <v>4246.566000000001</v>
      </c>
      <c r="N95" s="21">
        <f t="shared" si="12"/>
        <v>3996.768</v>
      </c>
      <c r="O95" s="511">
        <f t="shared" si="14"/>
        <v>749.394</v>
      </c>
      <c r="P95" s="505">
        <f t="shared" si="13"/>
        <v>2136.190425</v>
      </c>
      <c r="Q95" s="505"/>
      <c r="R95" s="507"/>
    </row>
    <row r="96" spans="1:17" ht="22.5" customHeight="1">
      <c r="A96" s="36"/>
      <c r="B96" s="36">
        <v>3</v>
      </c>
      <c r="C96" s="55">
        <v>7116</v>
      </c>
      <c r="D96" s="624" t="s">
        <v>373</v>
      </c>
      <c r="E96" s="57">
        <v>1825</v>
      </c>
      <c r="F96" s="57" t="s">
        <v>211</v>
      </c>
      <c r="G96" s="77">
        <v>1375</v>
      </c>
      <c r="H96" s="77">
        <f t="shared" si="15"/>
        <v>5985.977625000001</v>
      </c>
      <c r="I96" s="511">
        <f t="shared" si="9"/>
        <v>16040.75</v>
      </c>
      <c r="J96" s="511">
        <f>Ctrl!$J$8</f>
        <v>249798</v>
      </c>
      <c r="K96" s="511"/>
      <c r="L96" s="21">
        <f t="shared" si="10"/>
        <v>7493.94</v>
      </c>
      <c r="M96" s="21">
        <f t="shared" si="11"/>
        <v>4246.566000000001</v>
      </c>
      <c r="N96" s="21">
        <f t="shared" si="12"/>
        <v>3996.768</v>
      </c>
      <c r="O96" s="511">
        <f t="shared" si="14"/>
        <v>749.394</v>
      </c>
      <c r="P96" s="505">
        <f t="shared" si="13"/>
        <v>2061.236375</v>
      </c>
      <c r="Q96" s="505"/>
    </row>
    <row r="97" spans="1:17" ht="22.5" customHeight="1">
      <c r="A97" s="39"/>
      <c r="B97" s="39">
        <v>4</v>
      </c>
      <c r="C97" s="51">
        <v>7116</v>
      </c>
      <c r="D97" s="633" t="s">
        <v>358</v>
      </c>
      <c r="E97" s="58">
        <v>1825</v>
      </c>
      <c r="F97" s="58" t="s">
        <v>214</v>
      </c>
      <c r="G97" s="99">
        <v>1450</v>
      </c>
      <c r="H97" s="617">
        <f t="shared" si="15"/>
        <v>6748.496550000002</v>
      </c>
      <c r="I97" s="511">
        <f t="shared" si="9"/>
        <v>16915.7</v>
      </c>
      <c r="J97" s="511">
        <f>Ctrl!$J$8</f>
        <v>249798</v>
      </c>
      <c r="K97" s="511"/>
      <c r="L97" s="21">
        <f t="shared" si="10"/>
        <v>7493.94</v>
      </c>
      <c r="M97" s="21">
        <f t="shared" si="11"/>
        <v>4246.566000000001</v>
      </c>
      <c r="N97" s="21">
        <f t="shared" si="12"/>
        <v>3996.768</v>
      </c>
      <c r="O97" s="511">
        <f t="shared" si="14"/>
        <v>749.394</v>
      </c>
      <c r="P97" s="505">
        <f t="shared" si="13"/>
        <v>2173.6674500000004</v>
      </c>
      <c r="Q97" s="505"/>
    </row>
    <row r="98" spans="1:17" ht="22.5" customHeight="1">
      <c r="A98" s="25"/>
      <c r="B98" s="22">
        <v>5</v>
      </c>
      <c r="C98" s="37">
        <v>7116</v>
      </c>
      <c r="D98" s="627" t="s">
        <v>116</v>
      </c>
      <c r="E98" s="59">
        <v>1825</v>
      </c>
      <c r="F98" s="408" t="s">
        <v>146</v>
      </c>
      <c r="G98" s="81">
        <v>1475</v>
      </c>
      <c r="H98" s="81">
        <f t="shared" si="15"/>
        <v>7002.669525000003</v>
      </c>
      <c r="I98" s="511">
        <f t="shared" si="9"/>
        <v>17207.350000000002</v>
      </c>
      <c r="J98" s="511">
        <f>Ctrl!$J$8</f>
        <v>249798</v>
      </c>
      <c r="K98" s="511"/>
      <c r="L98" s="21">
        <f t="shared" si="10"/>
        <v>7493.94</v>
      </c>
      <c r="M98" s="21">
        <f t="shared" si="11"/>
        <v>4246.566000000001</v>
      </c>
      <c r="N98" s="21">
        <f t="shared" si="12"/>
        <v>3996.768</v>
      </c>
      <c r="O98" s="511">
        <f t="shared" si="14"/>
        <v>749.394</v>
      </c>
      <c r="P98" s="505">
        <f t="shared" si="13"/>
        <v>2211.1444750000005</v>
      </c>
      <c r="Q98" s="505"/>
    </row>
    <row r="99" spans="1:17" ht="22.5" customHeight="1">
      <c r="A99" s="70"/>
      <c r="B99" s="70">
        <v>6</v>
      </c>
      <c r="C99" s="71">
        <v>10000</v>
      </c>
      <c r="D99" s="620" t="s">
        <v>116</v>
      </c>
      <c r="E99" s="574">
        <v>1825</v>
      </c>
      <c r="F99" s="87" t="s">
        <v>37</v>
      </c>
      <c r="G99" s="80">
        <v>1450</v>
      </c>
      <c r="H99" s="80">
        <f t="shared" si="15"/>
        <v>6748.496550000002</v>
      </c>
      <c r="I99" s="511">
        <f t="shared" si="9"/>
        <v>16915.7</v>
      </c>
      <c r="J99" s="511">
        <f>Ctrl!$J$8</f>
        <v>249798</v>
      </c>
      <c r="K99" s="511"/>
      <c r="L99" s="21">
        <f t="shared" si="10"/>
        <v>7493.94</v>
      </c>
      <c r="M99" s="21">
        <f t="shared" si="11"/>
        <v>4246.566000000001</v>
      </c>
      <c r="N99" s="21">
        <f t="shared" si="12"/>
        <v>3996.768</v>
      </c>
      <c r="O99" s="511">
        <f t="shared" si="14"/>
        <v>749.394</v>
      </c>
      <c r="P99" s="505">
        <f t="shared" si="13"/>
        <v>2173.6674500000004</v>
      </c>
      <c r="Q99" s="505"/>
    </row>
    <row r="100" spans="1:18" ht="22.5" customHeight="1">
      <c r="A100" s="359"/>
      <c r="B100" s="359">
        <v>7</v>
      </c>
      <c r="C100" s="643">
        <v>10000</v>
      </c>
      <c r="D100" s="628" t="s">
        <v>360</v>
      </c>
      <c r="E100" s="361">
        <v>1825</v>
      </c>
      <c r="F100" s="86" t="s">
        <v>247</v>
      </c>
      <c r="G100" s="91">
        <v>1425</v>
      </c>
      <c r="H100" s="91">
        <f t="shared" si="15"/>
        <v>6494.323575000001</v>
      </c>
      <c r="I100" s="511">
        <f t="shared" si="9"/>
        <v>16624.05</v>
      </c>
      <c r="J100" s="511">
        <f>Ctrl!$J$8</f>
        <v>249798</v>
      </c>
      <c r="K100" s="511"/>
      <c r="L100" s="21">
        <f t="shared" si="10"/>
        <v>7493.94</v>
      </c>
      <c r="M100" s="21">
        <f t="shared" si="11"/>
        <v>4246.566000000001</v>
      </c>
      <c r="N100" s="21">
        <f t="shared" si="12"/>
        <v>3996.768</v>
      </c>
      <c r="O100" s="511">
        <f t="shared" si="14"/>
        <v>749.394</v>
      </c>
      <c r="P100" s="505">
        <f t="shared" si="13"/>
        <v>2136.190425</v>
      </c>
      <c r="Q100" s="505"/>
      <c r="R100" s="507"/>
    </row>
    <row r="101" spans="1:17" ht="22.5" customHeight="1">
      <c r="A101" s="36"/>
      <c r="B101" s="36">
        <v>8</v>
      </c>
      <c r="C101" s="52">
        <v>10000</v>
      </c>
      <c r="D101" s="624" t="s">
        <v>116</v>
      </c>
      <c r="E101" s="57">
        <v>1825</v>
      </c>
      <c r="F101" s="57" t="s">
        <v>418</v>
      </c>
      <c r="G101" s="77">
        <v>1400</v>
      </c>
      <c r="H101" s="77">
        <f t="shared" si="15"/>
        <v>6240.150599999999</v>
      </c>
      <c r="I101" s="511">
        <f t="shared" si="9"/>
        <v>16332.4</v>
      </c>
      <c r="J101" s="511">
        <f>Ctrl!$J$8</f>
        <v>249798</v>
      </c>
      <c r="K101" s="511"/>
      <c r="L101" s="21">
        <f t="shared" si="10"/>
        <v>7493.94</v>
      </c>
      <c r="M101" s="21">
        <f t="shared" si="11"/>
        <v>4246.566000000001</v>
      </c>
      <c r="N101" s="21">
        <f t="shared" si="12"/>
        <v>3996.768</v>
      </c>
      <c r="O101" s="511">
        <f t="shared" si="14"/>
        <v>749.394</v>
      </c>
      <c r="P101" s="505">
        <f t="shared" si="13"/>
        <v>2098.7134</v>
      </c>
      <c r="Q101" s="505"/>
    </row>
    <row r="102" spans="1:17" ht="22.5" customHeight="1">
      <c r="A102" s="445"/>
      <c r="B102" s="445">
        <v>9</v>
      </c>
      <c r="C102" s="446">
        <v>10000</v>
      </c>
      <c r="D102" s="630" t="s">
        <v>116</v>
      </c>
      <c r="E102" s="447">
        <v>1825</v>
      </c>
      <c r="F102" s="448" t="s">
        <v>236</v>
      </c>
      <c r="G102" s="449">
        <v>1425</v>
      </c>
      <c r="H102" s="616">
        <f t="shared" si="15"/>
        <v>6494.323575000001</v>
      </c>
      <c r="I102" s="511">
        <f t="shared" si="9"/>
        <v>16624.05</v>
      </c>
      <c r="J102" s="511">
        <f>Ctrl!$J$8</f>
        <v>249798</v>
      </c>
      <c r="K102" s="511"/>
      <c r="L102" s="21">
        <f t="shared" si="10"/>
        <v>7493.94</v>
      </c>
      <c r="M102" s="21">
        <f t="shared" si="11"/>
        <v>4246.566000000001</v>
      </c>
      <c r="N102" s="21">
        <f t="shared" si="12"/>
        <v>3996.768</v>
      </c>
      <c r="O102" s="511">
        <f t="shared" si="14"/>
        <v>749.394</v>
      </c>
      <c r="P102" s="505">
        <f t="shared" si="13"/>
        <v>2136.190425</v>
      </c>
      <c r="Q102" s="505"/>
    </row>
    <row r="103" spans="1:17" ht="22.5" customHeight="1">
      <c r="A103" s="39"/>
      <c r="B103" s="39">
        <v>10</v>
      </c>
      <c r="C103" s="51">
        <v>10000</v>
      </c>
      <c r="D103" s="633" t="s">
        <v>116</v>
      </c>
      <c r="E103" s="58">
        <v>1825</v>
      </c>
      <c r="F103" s="58" t="s">
        <v>147</v>
      </c>
      <c r="G103" s="99">
        <v>1475</v>
      </c>
      <c r="H103" s="617">
        <f t="shared" si="15"/>
        <v>7002.669525000003</v>
      </c>
      <c r="I103" s="511">
        <f t="shared" si="9"/>
        <v>17207.350000000002</v>
      </c>
      <c r="J103" s="511">
        <f>Ctrl!$J$8</f>
        <v>249798</v>
      </c>
      <c r="K103" s="511"/>
      <c r="L103" s="21">
        <f t="shared" si="10"/>
        <v>7493.94</v>
      </c>
      <c r="M103" s="21">
        <f t="shared" si="11"/>
        <v>4246.566000000001</v>
      </c>
      <c r="N103" s="21">
        <f t="shared" si="12"/>
        <v>3996.768</v>
      </c>
      <c r="O103" s="511">
        <f t="shared" si="14"/>
        <v>749.394</v>
      </c>
      <c r="P103" s="505">
        <f t="shared" si="13"/>
        <v>2211.1444750000005</v>
      </c>
      <c r="Q103" s="505"/>
    </row>
    <row r="104" spans="1:17" ht="22.5" customHeight="1">
      <c r="A104" s="25"/>
      <c r="B104" s="25">
        <v>11</v>
      </c>
      <c r="C104" s="53">
        <v>10000</v>
      </c>
      <c r="D104" s="627" t="s">
        <v>116</v>
      </c>
      <c r="E104" s="59">
        <v>1825</v>
      </c>
      <c r="F104" s="59" t="s">
        <v>146</v>
      </c>
      <c r="G104" s="81">
        <v>1500</v>
      </c>
      <c r="H104" s="81">
        <f t="shared" si="15"/>
        <v>7256.842500000002</v>
      </c>
      <c r="I104" s="511">
        <f t="shared" si="9"/>
        <v>17499</v>
      </c>
      <c r="J104" s="511">
        <f>Ctrl!$J$8</f>
        <v>249798</v>
      </c>
      <c r="K104" s="511"/>
      <c r="L104" s="21">
        <f t="shared" si="10"/>
        <v>7493.94</v>
      </c>
      <c r="M104" s="21">
        <f t="shared" si="11"/>
        <v>4246.566000000001</v>
      </c>
      <c r="N104" s="21">
        <f t="shared" si="12"/>
        <v>3996.768</v>
      </c>
      <c r="O104" s="511">
        <f t="shared" si="14"/>
        <v>749.394</v>
      </c>
      <c r="P104" s="505">
        <f t="shared" si="13"/>
        <v>2248.6215</v>
      </c>
      <c r="Q104" s="505"/>
    </row>
    <row r="105" spans="1:18" ht="22.5" customHeight="1">
      <c r="A105" s="70"/>
      <c r="B105" s="70">
        <v>12</v>
      </c>
      <c r="C105" s="71">
        <v>15000</v>
      </c>
      <c r="D105" s="620" t="s">
        <v>116</v>
      </c>
      <c r="E105" s="574">
        <v>1825</v>
      </c>
      <c r="F105" s="574" t="s">
        <v>37</v>
      </c>
      <c r="G105" s="80">
        <v>1490</v>
      </c>
      <c r="H105" s="80">
        <f t="shared" si="15"/>
        <v>7155.173310000002</v>
      </c>
      <c r="I105" s="511">
        <f t="shared" si="9"/>
        <v>17382.34</v>
      </c>
      <c r="J105" s="511">
        <f>Ctrl!$J$8</f>
        <v>249798</v>
      </c>
      <c r="K105" s="511"/>
      <c r="L105" s="21">
        <f t="shared" si="10"/>
        <v>7493.94</v>
      </c>
      <c r="M105" s="21">
        <f t="shared" si="11"/>
        <v>4246.566000000001</v>
      </c>
      <c r="N105" s="21">
        <f t="shared" si="12"/>
        <v>3996.768</v>
      </c>
      <c r="O105" s="511">
        <f t="shared" si="14"/>
        <v>749.394</v>
      </c>
      <c r="P105" s="505">
        <f t="shared" si="13"/>
        <v>2233.63069</v>
      </c>
      <c r="Q105" s="505"/>
      <c r="R105" s="507"/>
    </row>
    <row r="106" spans="1:17" ht="22.5" customHeight="1">
      <c r="A106" s="36"/>
      <c r="B106" s="36">
        <v>13</v>
      </c>
      <c r="C106" s="55">
        <v>15000</v>
      </c>
      <c r="D106" s="624" t="s">
        <v>116</v>
      </c>
      <c r="E106" s="57">
        <v>1825</v>
      </c>
      <c r="F106" s="57" t="s">
        <v>145</v>
      </c>
      <c r="G106" s="77">
        <v>1440</v>
      </c>
      <c r="H106" s="77">
        <f t="shared" si="15"/>
        <v>6646.827360000003</v>
      </c>
      <c r="I106" s="511">
        <f t="shared" si="9"/>
        <v>16799.04</v>
      </c>
      <c r="J106" s="511">
        <f>Ctrl!$J$8</f>
        <v>249798</v>
      </c>
      <c r="K106" s="511"/>
      <c r="L106" s="21">
        <f t="shared" si="10"/>
        <v>7493.94</v>
      </c>
      <c r="M106" s="21">
        <f t="shared" si="11"/>
        <v>4246.566000000001</v>
      </c>
      <c r="N106" s="21">
        <f t="shared" si="12"/>
        <v>3996.768</v>
      </c>
      <c r="O106" s="511">
        <f t="shared" si="14"/>
        <v>749.394</v>
      </c>
      <c r="P106" s="505">
        <f t="shared" si="13"/>
        <v>2158.67664</v>
      </c>
      <c r="Q106" s="505"/>
    </row>
    <row r="107" spans="1:17" ht="22.5" customHeight="1">
      <c r="A107" s="445"/>
      <c r="B107" s="445">
        <v>14</v>
      </c>
      <c r="C107" s="446">
        <v>15000</v>
      </c>
      <c r="D107" s="630" t="s">
        <v>116</v>
      </c>
      <c r="E107" s="447">
        <v>1825</v>
      </c>
      <c r="F107" s="450" t="s">
        <v>276</v>
      </c>
      <c r="G107" s="449">
        <v>1465</v>
      </c>
      <c r="H107" s="616">
        <f t="shared" si="15"/>
        <v>6901.000335000004</v>
      </c>
      <c r="I107" s="511">
        <f t="shared" si="9"/>
        <v>17090.690000000002</v>
      </c>
      <c r="J107" s="511">
        <f>Ctrl!$J$8</f>
        <v>249798</v>
      </c>
      <c r="K107" s="511"/>
      <c r="L107" s="21">
        <f t="shared" si="10"/>
        <v>7493.94</v>
      </c>
      <c r="M107" s="21">
        <f t="shared" si="11"/>
        <v>4246.566000000001</v>
      </c>
      <c r="N107" s="21">
        <f t="shared" si="12"/>
        <v>3996.768</v>
      </c>
      <c r="O107" s="511">
        <f t="shared" si="14"/>
        <v>749.394</v>
      </c>
      <c r="P107" s="505">
        <f t="shared" si="13"/>
        <v>2196.1536650000003</v>
      </c>
      <c r="Q107" s="505"/>
    </row>
    <row r="108" spans="1:17" ht="22.5" customHeight="1">
      <c r="A108" s="39"/>
      <c r="B108" s="39">
        <v>15</v>
      </c>
      <c r="C108" s="51">
        <v>15000</v>
      </c>
      <c r="D108" s="633" t="s">
        <v>116</v>
      </c>
      <c r="E108" s="58">
        <v>1825</v>
      </c>
      <c r="F108" s="58" t="s">
        <v>147</v>
      </c>
      <c r="G108" s="99">
        <v>1515</v>
      </c>
      <c r="H108" s="617">
        <f t="shared" si="15"/>
        <v>7409.346285000003</v>
      </c>
      <c r="I108" s="511">
        <f t="shared" si="9"/>
        <v>17673.99</v>
      </c>
      <c r="J108" s="511">
        <f>Ctrl!$J$8</f>
        <v>249798</v>
      </c>
      <c r="K108" s="511"/>
      <c r="L108" s="21">
        <f t="shared" si="10"/>
        <v>7493.94</v>
      </c>
      <c r="M108" s="21">
        <f t="shared" si="11"/>
        <v>4246.566000000001</v>
      </c>
      <c r="N108" s="21">
        <f t="shared" si="12"/>
        <v>3996.768</v>
      </c>
      <c r="O108" s="511">
        <f t="shared" si="14"/>
        <v>749.394</v>
      </c>
      <c r="P108" s="505">
        <f t="shared" si="13"/>
        <v>2271.107715</v>
      </c>
      <c r="Q108" s="505"/>
    </row>
    <row r="109" spans="1:17" ht="22.5" customHeight="1">
      <c r="A109" s="25"/>
      <c r="B109" s="25">
        <v>16</v>
      </c>
      <c r="C109" s="37">
        <v>15000</v>
      </c>
      <c r="D109" s="627" t="s">
        <v>116</v>
      </c>
      <c r="E109" s="59">
        <v>1825</v>
      </c>
      <c r="F109" s="59" t="s">
        <v>146</v>
      </c>
      <c r="G109" s="81">
        <v>1540</v>
      </c>
      <c r="H109" s="651">
        <f t="shared" si="15"/>
        <v>7663.519260000001</v>
      </c>
      <c r="I109" s="511">
        <f t="shared" si="9"/>
        <v>17965.64</v>
      </c>
      <c r="J109" s="511">
        <f>Ctrl!$J$8</f>
        <v>249798</v>
      </c>
      <c r="K109" s="511"/>
      <c r="L109" s="21">
        <f t="shared" si="10"/>
        <v>7493.94</v>
      </c>
      <c r="M109" s="21">
        <f t="shared" si="11"/>
        <v>4246.566000000001</v>
      </c>
      <c r="N109" s="21">
        <f t="shared" si="12"/>
        <v>3996.768</v>
      </c>
      <c r="O109" s="511">
        <f t="shared" si="14"/>
        <v>749.394</v>
      </c>
      <c r="P109" s="505">
        <f t="shared" si="13"/>
        <v>2308.58474</v>
      </c>
      <c r="Q109" s="505"/>
    </row>
    <row r="110" spans="1:17" ht="22.5" customHeight="1">
      <c r="A110" s="70"/>
      <c r="B110" s="70">
        <v>17</v>
      </c>
      <c r="C110" s="71">
        <v>20000</v>
      </c>
      <c r="D110" s="620" t="s">
        <v>116</v>
      </c>
      <c r="E110" s="574">
        <v>1825</v>
      </c>
      <c r="F110" s="574" t="s">
        <v>37</v>
      </c>
      <c r="G110" s="80">
        <v>1525</v>
      </c>
      <c r="H110" s="80">
        <f t="shared" si="15"/>
        <v>7511.015475000003</v>
      </c>
      <c r="I110" s="511">
        <f t="shared" si="9"/>
        <v>17790.65</v>
      </c>
      <c r="J110" s="511">
        <f>Ctrl!$J$8</f>
        <v>249798</v>
      </c>
      <c r="K110" s="511"/>
      <c r="L110" s="21">
        <f t="shared" si="10"/>
        <v>7493.94</v>
      </c>
      <c r="M110" s="21">
        <f t="shared" si="11"/>
        <v>4246.566000000001</v>
      </c>
      <c r="N110" s="21">
        <f t="shared" si="12"/>
        <v>3996.768</v>
      </c>
      <c r="O110" s="511">
        <f t="shared" si="14"/>
        <v>749.394</v>
      </c>
      <c r="P110" s="505">
        <f t="shared" si="13"/>
        <v>2286.0985250000003</v>
      </c>
      <c r="Q110" s="505"/>
    </row>
    <row r="111" spans="1:17" ht="22.5" customHeight="1">
      <c r="A111" s="36"/>
      <c r="B111" s="36">
        <v>18</v>
      </c>
      <c r="C111" s="52">
        <v>20000</v>
      </c>
      <c r="D111" s="624" t="s">
        <v>116</v>
      </c>
      <c r="E111" s="57">
        <v>1825</v>
      </c>
      <c r="F111" s="57" t="s">
        <v>145</v>
      </c>
      <c r="G111" s="77">
        <v>1475</v>
      </c>
      <c r="H111" s="77">
        <f t="shared" si="15"/>
        <v>7002.669525000003</v>
      </c>
      <c r="I111" s="511">
        <f t="shared" si="9"/>
        <v>17207.350000000002</v>
      </c>
      <c r="J111" s="511">
        <f>Ctrl!$J$8</f>
        <v>249798</v>
      </c>
      <c r="K111" s="511"/>
      <c r="L111" s="21">
        <f t="shared" si="10"/>
        <v>7493.94</v>
      </c>
      <c r="M111" s="21">
        <f t="shared" si="11"/>
        <v>4246.566000000001</v>
      </c>
      <c r="N111" s="21">
        <f t="shared" si="12"/>
        <v>3996.768</v>
      </c>
      <c r="O111" s="511">
        <f t="shared" si="14"/>
        <v>749.394</v>
      </c>
      <c r="P111" s="505">
        <f t="shared" si="13"/>
        <v>2211.1444750000005</v>
      </c>
      <c r="Q111" s="505"/>
    </row>
    <row r="112" spans="1:17" ht="22.5" customHeight="1">
      <c r="A112" s="445"/>
      <c r="B112" s="445">
        <v>19</v>
      </c>
      <c r="C112" s="446">
        <v>20000</v>
      </c>
      <c r="D112" s="630" t="s">
        <v>116</v>
      </c>
      <c r="E112" s="447">
        <v>1825</v>
      </c>
      <c r="F112" s="448" t="s">
        <v>363</v>
      </c>
      <c r="G112" s="449">
        <v>1500</v>
      </c>
      <c r="H112" s="616">
        <f t="shared" si="15"/>
        <v>7256.842500000002</v>
      </c>
      <c r="I112" s="511">
        <f t="shared" si="9"/>
        <v>17499</v>
      </c>
      <c r="J112" s="511">
        <f>Ctrl!$J$8</f>
        <v>249798</v>
      </c>
      <c r="K112" s="511"/>
      <c r="L112" s="21">
        <f t="shared" si="10"/>
        <v>7493.94</v>
      </c>
      <c r="M112" s="21">
        <f t="shared" si="11"/>
        <v>4246.566000000001</v>
      </c>
      <c r="N112" s="21">
        <f t="shared" si="12"/>
        <v>3996.768</v>
      </c>
      <c r="O112" s="511">
        <f t="shared" si="14"/>
        <v>749.394</v>
      </c>
      <c r="P112" s="505">
        <f t="shared" si="13"/>
        <v>2248.6215</v>
      </c>
      <c r="Q112" s="505"/>
    </row>
    <row r="113" spans="1:17" ht="22.5" customHeight="1">
      <c r="A113" s="39"/>
      <c r="B113" s="38">
        <v>20</v>
      </c>
      <c r="C113" s="51">
        <v>20000</v>
      </c>
      <c r="D113" s="633" t="s">
        <v>116</v>
      </c>
      <c r="E113" s="58">
        <v>1825</v>
      </c>
      <c r="F113" s="58" t="s">
        <v>147</v>
      </c>
      <c r="G113" s="99">
        <v>1550</v>
      </c>
      <c r="H113" s="617">
        <f t="shared" si="15"/>
        <v>7765.1884500000015</v>
      </c>
      <c r="I113" s="511">
        <f t="shared" si="9"/>
        <v>18082.3</v>
      </c>
      <c r="J113" s="511">
        <f>Ctrl!$J$8</f>
        <v>249798</v>
      </c>
      <c r="K113" s="511"/>
      <c r="L113" s="21">
        <f t="shared" si="10"/>
        <v>7493.94</v>
      </c>
      <c r="M113" s="21">
        <f t="shared" si="11"/>
        <v>4246.566000000001</v>
      </c>
      <c r="N113" s="21">
        <f t="shared" si="12"/>
        <v>3996.768</v>
      </c>
      <c r="O113" s="511">
        <f t="shared" si="14"/>
        <v>749.394</v>
      </c>
      <c r="P113" s="505">
        <f t="shared" si="13"/>
        <v>2323.57555</v>
      </c>
      <c r="Q113" s="505"/>
    </row>
    <row r="114" spans="1:17" ht="22.5" customHeight="1">
      <c r="A114" s="25"/>
      <c r="B114" s="25">
        <v>21</v>
      </c>
      <c r="C114" s="53">
        <v>20000</v>
      </c>
      <c r="D114" s="627" t="s">
        <v>116</v>
      </c>
      <c r="E114" s="59">
        <v>1825</v>
      </c>
      <c r="F114" s="576" t="s">
        <v>146</v>
      </c>
      <c r="G114" s="81">
        <v>1575</v>
      </c>
      <c r="H114" s="81">
        <f t="shared" si="15"/>
        <v>8019.361425000003</v>
      </c>
      <c r="I114" s="511">
        <f t="shared" si="9"/>
        <v>18373.95</v>
      </c>
      <c r="J114" s="511">
        <f>Ctrl!$J$8</f>
        <v>249798</v>
      </c>
      <c r="K114" s="511"/>
      <c r="L114" s="21">
        <f t="shared" si="10"/>
        <v>7493.94</v>
      </c>
      <c r="M114" s="21">
        <f t="shared" si="11"/>
        <v>4246.566000000001</v>
      </c>
      <c r="N114" s="21">
        <f t="shared" si="12"/>
        <v>3996.768</v>
      </c>
      <c r="O114" s="511">
        <f aca="true" t="shared" si="16" ref="O114:O145">$O$2*J114</f>
        <v>749.394</v>
      </c>
      <c r="P114" s="505">
        <f t="shared" si="13"/>
        <v>2361.052575</v>
      </c>
      <c r="Q114" s="505"/>
    </row>
    <row r="115" spans="1:18" ht="22.5" customHeight="1">
      <c r="A115" s="38"/>
      <c r="B115" s="38">
        <v>22</v>
      </c>
      <c r="C115" s="54">
        <v>20000</v>
      </c>
      <c r="D115" s="632" t="s">
        <v>116</v>
      </c>
      <c r="E115" s="89">
        <v>1825</v>
      </c>
      <c r="F115" s="88" t="s">
        <v>366</v>
      </c>
      <c r="G115" s="82">
        <v>1600</v>
      </c>
      <c r="H115" s="617">
        <f t="shared" si="15"/>
        <v>8273.534400000004</v>
      </c>
      <c r="I115" s="511">
        <f t="shared" si="9"/>
        <v>18665.600000000002</v>
      </c>
      <c r="J115" s="511">
        <f>Ctrl!$J$8</f>
        <v>249798</v>
      </c>
      <c r="K115" s="511"/>
      <c r="L115" s="21">
        <f t="shared" si="10"/>
        <v>7493.94</v>
      </c>
      <c r="M115" s="21">
        <f t="shared" si="11"/>
        <v>4246.566000000001</v>
      </c>
      <c r="N115" s="21">
        <f t="shared" si="12"/>
        <v>3996.768</v>
      </c>
      <c r="O115" s="511">
        <f t="shared" si="16"/>
        <v>749.394</v>
      </c>
      <c r="P115" s="505">
        <f t="shared" si="13"/>
        <v>2398.5296000000003</v>
      </c>
      <c r="Q115" s="505"/>
      <c r="R115" s="508"/>
    </row>
    <row r="116" spans="1:17" ht="22.5" customHeight="1">
      <c r="A116" s="70"/>
      <c r="B116" s="70">
        <v>23</v>
      </c>
      <c r="C116" s="71">
        <v>25000</v>
      </c>
      <c r="D116" s="620" t="s">
        <v>116</v>
      </c>
      <c r="E116" s="574">
        <v>1825</v>
      </c>
      <c r="F116" s="574" t="s">
        <v>37</v>
      </c>
      <c r="G116" s="80">
        <v>1540</v>
      </c>
      <c r="H116" s="80">
        <f t="shared" si="15"/>
        <v>7663.519260000001</v>
      </c>
      <c r="I116" s="511">
        <f t="shared" si="9"/>
        <v>17965.64</v>
      </c>
      <c r="J116" s="511">
        <f>Ctrl!$J$8</f>
        <v>249798</v>
      </c>
      <c r="K116" s="511"/>
      <c r="L116" s="21">
        <f t="shared" si="10"/>
        <v>7493.94</v>
      </c>
      <c r="M116" s="21">
        <f t="shared" si="11"/>
        <v>4246.566000000001</v>
      </c>
      <c r="N116" s="21">
        <f t="shared" si="12"/>
        <v>3996.768</v>
      </c>
      <c r="O116" s="511">
        <f t="shared" si="16"/>
        <v>749.394</v>
      </c>
      <c r="P116" s="505">
        <f t="shared" si="13"/>
        <v>2308.58474</v>
      </c>
      <c r="Q116" s="505"/>
    </row>
    <row r="117" spans="1:17" ht="22.5" customHeight="1">
      <c r="A117" s="36"/>
      <c r="B117" s="36">
        <v>24</v>
      </c>
      <c r="C117" s="55">
        <v>25000</v>
      </c>
      <c r="D117" s="624" t="s">
        <v>116</v>
      </c>
      <c r="E117" s="57">
        <v>1825</v>
      </c>
      <c r="F117" s="57" t="s">
        <v>145</v>
      </c>
      <c r="G117" s="77">
        <v>1490</v>
      </c>
      <c r="H117" s="77">
        <f t="shared" si="15"/>
        <v>7155.173310000002</v>
      </c>
      <c r="I117" s="511">
        <f t="shared" si="9"/>
        <v>17382.34</v>
      </c>
      <c r="J117" s="511">
        <f>Ctrl!$J$8</f>
        <v>249798</v>
      </c>
      <c r="K117" s="511"/>
      <c r="L117" s="21">
        <f t="shared" si="10"/>
        <v>7493.94</v>
      </c>
      <c r="M117" s="21">
        <f t="shared" si="11"/>
        <v>4246.566000000001</v>
      </c>
      <c r="N117" s="21">
        <f t="shared" si="12"/>
        <v>3996.768</v>
      </c>
      <c r="O117" s="511">
        <f t="shared" si="16"/>
        <v>749.394</v>
      </c>
      <c r="P117" s="505">
        <f t="shared" si="13"/>
        <v>2233.63069</v>
      </c>
      <c r="Q117" s="505"/>
    </row>
    <row r="118" spans="1:17" ht="22.5" customHeight="1">
      <c r="A118" s="445"/>
      <c r="B118" s="445">
        <v>25</v>
      </c>
      <c r="C118" s="446">
        <v>25000</v>
      </c>
      <c r="D118" s="630" t="s">
        <v>116</v>
      </c>
      <c r="E118" s="447">
        <v>1825</v>
      </c>
      <c r="F118" s="450" t="s">
        <v>276</v>
      </c>
      <c r="G118" s="449">
        <v>1515</v>
      </c>
      <c r="H118" s="616">
        <f aca="true" t="shared" si="17" ref="H118:H149">I118-L118+M118-N118-O118-P118</f>
        <v>7409.346285000003</v>
      </c>
      <c r="I118" s="511">
        <f t="shared" si="9"/>
        <v>17673.99</v>
      </c>
      <c r="J118" s="511">
        <f>Ctrl!$J$8</f>
        <v>249798</v>
      </c>
      <c r="K118" s="511"/>
      <c r="L118" s="21">
        <f t="shared" si="10"/>
        <v>7493.94</v>
      </c>
      <c r="M118" s="21">
        <f t="shared" si="11"/>
        <v>4246.566000000001</v>
      </c>
      <c r="N118" s="21">
        <f t="shared" si="12"/>
        <v>3996.768</v>
      </c>
      <c r="O118" s="511">
        <f t="shared" si="16"/>
        <v>749.394</v>
      </c>
      <c r="P118" s="505">
        <f t="shared" si="13"/>
        <v>2271.107715</v>
      </c>
      <c r="Q118" s="505"/>
    </row>
    <row r="119" spans="1:17" ht="22.5" customHeight="1">
      <c r="A119" s="39"/>
      <c r="B119" s="39">
        <v>26</v>
      </c>
      <c r="C119" s="51">
        <v>25000</v>
      </c>
      <c r="D119" s="633" t="s">
        <v>116</v>
      </c>
      <c r="E119" s="58">
        <v>1825</v>
      </c>
      <c r="F119" s="58" t="s">
        <v>147</v>
      </c>
      <c r="G119" s="99">
        <v>1565</v>
      </c>
      <c r="H119" s="617">
        <f t="shared" si="17"/>
        <v>7917.692235000002</v>
      </c>
      <c r="I119" s="511">
        <f t="shared" si="9"/>
        <v>18257.29</v>
      </c>
      <c r="J119" s="511">
        <f>Ctrl!$J$8</f>
        <v>249798</v>
      </c>
      <c r="K119" s="511"/>
      <c r="L119" s="21">
        <f t="shared" si="10"/>
        <v>7493.94</v>
      </c>
      <c r="M119" s="21">
        <f t="shared" si="11"/>
        <v>4246.566000000001</v>
      </c>
      <c r="N119" s="21">
        <f t="shared" si="12"/>
        <v>3996.768</v>
      </c>
      <c r="O119" s="511">
        <f t="shared" si="16"/>
        <v>749.394</v>
      </c>
      <c r="P119" s="505">
        <f t="shared" si="13"/>
        <v>2346.0617650000004</v>
      </c>
      <c r="Q119" s="505"/>
    </row>
    <row r="120" spans="1:17" ht="22.5" customHeight="1">
      <c r="A120" s="25"/>
      <c r="B120" s="25">
        <v>27</v>
      </c>
      <c r="C120" s="53">
        <v>25000</v>
      </c>
      <c r="D120" s="627" t="s">
        <v>116</v>
      </c>
      <c r="E120" s="59">
        <v>1825</v>
      </c>
      <c r="F120" s="59" t="s">
        <v>146</v>
      </c>
      <c r="G120" s="81">
        <v>1590</v>
      </c>
      <c r="H120" s="81">
        <f t="shared" si="17"/>
        <v>8171.865210000004</v>
      </c>
      <c r="I120" s="511">
        <f t="shared" si="9"/>
        <v>18548.940000000002</v>
      </c>
      <c r="J120" s="511">
        <f>Ctrl!$J$8</f>
        <v>249798</v>
      </c>
      <c r="K120" s="511"/>
      <c r="L120" s="21">
        <f t="shared" si="10"/>
        <v>7493.94</v>
      </c>
      <c r="M120" s="21">
        <f t="shared" si="11"/>
        <v>4246.566000000001</v>
      </c>
      <c r="N120" s="21">
        <f t="shared" si="12"/>
        <v>3996.768</v>
      </c>
      <c r="O120" s="511">
        <f t="shared" si="16"/>
        <v>749.394</v>
      </c>
      <c r="P120" s="505">
        <f t="shared" si="13"/>
        <v>2383.5387900000005</v>
      </c>
      <c r="Q120" s="505"/>
    </row>
    <row r="121" spans="1:17" ht="22.5" customHeight="1">
      <c r="A121" s="38"/>
      <c r="B121" s="38">
        <v>28</v>
      </c>
      <c r="C121" s="54">
        <v>25000</v>
      </c>
      <c r="D121" s="632" t="s">
        <v>116</v>
      </c>
      <c r="E121" s="89">
        <v>1825</v>
      </c>
      <c r="F121" s="88" t="s">
        <v>366</v>
      </c>
      <c r="G121" s="82">
        <v>1615</v>
      </c>
      <c r="H121" s="617">
        <f t="shared" si="17"/>
        <v>8426.038185000001</v>
      </c>
      <c r="I121" s="511">
        <f t="shared" si="9"/>
        <v>18840.59</v>
      </c>
      <c r="J121" s="511">
        <f>Ctrl!$J$8</f>
        <v>249798</v>
      </c>
      <c r="K121" s="511"/>
      <c r="L121" s="21">
        <f t="shared" si="10"/>
        <v>7493.94</v>
      </c>
      <c r="M121" s="21">
        <f t="shared" si="11"/>
        <v>4246.566000000001</v>
      </c>
      <c r="N121" s="21">
        <f t="shared" si="12"/>
        <v>3996.768</v>
      </c>
      <c r="O121" s="511">
        <f t="shared" si="16"/>
        <v>749.394</v>
      </c>
      <c r="P121" s="505">
        <f t="shared" si="13"/>
        <v>2421.015815</v>
      </c>
      <c r="Q121" s="505"/>
    </row>
    <row r="122" spans="1:17" ht="22.5" customHeight="1">
      <c r="A122" s="70"/>
      <c r="B122" s="70">
        <v>29</v>
      </c>
      <c r="C122" s="71">
        <v>30000</v>
      </c>
      <c r="D122" s="620" t="s">
        <v>116</v>
      </c>
      <c r="E122" s="574">
        <v>1825</v>
      </c>
      <c r="F122" s="574" t="s">
        <v>37</v>
      </c>
      <c r="G122" s="80">
        <v>1550</v>
      </c>
      <c r="H122" s="80">
        <f t="shared" si="17"/>
        <v>7765.1884500000015</v>
      </c>
      <c r="I122" s="511">
        <f t="shared" si="9"/>
        <v>18082.3</v>
      </c>
      <c r="J122" s="511">
        <f>Ctrl!$J$8</f>
        <v>249798</v>
      </c>
      <c r="K122" s="511"/>
      <c r="L122" s="21">
        <f t="shared" si="10"/>
        <v>7493.94</v>
      </c>
      <c r="M122" s="21">
        <f t="shared" si="11"/>
        <v>4246.566000000001</v>
      </c>
      <c r="N122" s="21">
        <f t="shared" si="12"/>
        <v>3996.768</v>
      </c>
      <c r="O122" s="511">
        <f t="shared" si="16"/>
        <v>749.394</v>
      </c>
      <c r="P122" s="505">
        <f t="shared" si="13"/>
        <v>2323.57555</v>
      </c>
      <c r="Q122" s="505"/>
    </row>
    <row r="123" spans="1:17" ht="22.5" customHeight="1">
      <c r="A123" s="36"/>
      <c r="B123" s="36">
        <v>30</v>
      </c>
      <c r="C123" s="55">
        <v>30000</v>
      </c>
      <c r="D123" s="624" t="s">
        <v>116</v>
      </c>
      <c r="E123" s="57">
        <v>1825</v>
      </c>
      <c r="F123" s="57" t="s">
        <v>145</v>
      </c>
      <c r="G123" s="77">
        <v>1500</v>
      </c>
      <c r="H123" s="77">
        <f t="shared" si="17"/>
        <v>7256.842500000002</v>
      </c>
      <c r="I123" s="511">
        <f t="shared" si="9"/>
        <v>17499</v>
      </c>
      <c r="J123" s="511">
        <f>Ctrl!$J$8</f>
        <v>249798</v>
      </c>
      <c r="K123" s="511"/>
      <c r="L123" s="21">
        <f t="shared" si="10"/>
        <v>7493.94</v>
      </c>
      <c r="M123" s="21">
        <f t="shared" si="11"/>
        <v>4246.566000000001</v>
      </c>
      <c r="N123" s="21">
        <f t="shared" si="12"/>
        <v>3996.768</v>
      </c>
      <c r="O123" s="511">
        <f t="shared" si="16"/>
        <v>749.394</v>
      </c>
      <c r="P123" s="505">
        <f t="shared" si="13"/>
        <v>2248.6215</v>
      </c>
      <c r="Q123" s="505"/>
    </row>
    <row r="124" spans="1:17" ht="22.5" customHeight="1">
      <c r="A124" s="445"/>
      <c r="B124" s="445">
        <v>31</v>
      </c>
      <c r="C124" s="446">
        <v>30000</v>
      </c>
      <c r="D124" s="630" t="s">
        <v>116</v>
      </c>
      <c r="E124" s="447">
        <v>1825</v>
      </c>
      <c r="F124" s="577" t="s">
        <v>276</v>
      </c>
      <c r="G124" s="449">
        <v>1525</v>
      </c>
      <c r="H124" s="616">
        <f t="shared" si="17"/>
        <v>7511.015475000003</v>
      </c>
      <c r="I124" s="511">
        <f t="shared" si="9"/>
        <v>17790.65</v>
      </c>
      <c r="J124" s="511">
        <f>Ctrl!$J$8</f>
        <v>249798</v>
      </c>
      <c r="K124" s="511"/>
      <c r="L124" s="21">
        <f t="shared" si="10"/>
        <v>7493.94</v>
      </c>
      <c r="M124" s="21">
        <f t="shared" si="11"/>
        <v>4246.566000000001</v>
      </c>
      <c r="N124" s="21">
        <f t="shared" si="12"/>
        <v>3996.768</v>
      </c>
      <c r="O124" s="511">
        <f t="shared" si="16"/>
        <v>749.394</v>
      </c>
      <c r="P124" s="505">
        <f t="shared" si="13"/>
        <v>2286.0985250000003</v>
      </c>
      <c r="Q124" s="505"/>
    </row>
    <row r="125" spans="1:17" ht="22.5" customHeight="1">
      <c r="A125" s="39"/>
      <c r="B125" s="39">
        <v>32</v>
      </c>
      <c r="C125" s="51">
        <v>30000</v>
      </c>
      <c r="D125" s="633" t="s">
        <v>116</v>
      </c>
      <c r="E125" s="58">
        <v>1825</v>
      </c>
      <c r="F125" s="58" t="s">
        <v>147</v>
      </c>
      <c r="G125" s="99">
        <v>1575</v>
      </c>
      <c r="H125" s="617">
        <f t="shared" si="17"/>
        <v>8019.361425000003</v>
      </c>
      <c r="I125" s="511">
        <f t="shared" si="9"/>
        <v>18373.95</v>
      </c>
      <c r="J125" s="511">
        <f>Ctrl!$J$8</f>
        <v>249798</v>
      </c>
      <c r="K125" s="511"/>
      <c r="L125" s="21">
        <f t="shared" si="10"/>
        <v>7493.94</v>
      </c>
      <c r="M125" s="21">
        <f t="shared" si="11"/>
        <v>4246.566000000001</v>
      </c>
      <c r="N125" s="21">
        <f t="shared" si="12"/>
        <v>3996.768</v>
      </c>
      <c r="O125" s="511">
        <f t="shared" si="16"/>
        <v>749.394</v>
      </c>
      <c r="P125" s="505">
        <f t="shared" si="13"/>
        <v>2361.052575</v>
      </c>
      <c r="Q125" s="505"/>
    </row>
    <row r="126" spans="1:17" ht="22.5" customHeight="1">
      <c r="A126" s="25"/>
      <c r="B126" s="49">
        <v>33</v>
      </c>
      <c r="C126" s="37">
        <v>30000</v>
      </c>
      <c r="D126" s="627" t="s">
        <v>116</v>
      </c>
      <c r="E126" s="59">
        <v>1825</v>
      </c>
      <c r="F126" s="576" t="s">
        <v>146</v>
      </c>
      <c r="G126" s="81">
        <v>1600</v>
      </c>
      <c r="H126" s="81">
        <f t="shared" si="17"/>
        <v>8273.534400000004</v>
      </c>
      <c r="I126" s="511">
        <f t="shared" si="9"/>
        <v>18665.600000000002</v>
      </c>
      <c r="J126" s="511">
        <f>Ctrl!$J$8</f>
        <v>249798</v>
      </c>
      <c r="K126" s="511"/>
      <c r="L126" s="21">
        <f t="shared" si="10"/>
        <v>7493.94</v>
      </c>
      <c r="M126" s="21">
        <f t="shared" si="11"/>
        <v>4246.566000000001</v>
      </c>
      <c r="N126" s="21">
        <f t="shared" si="12"/>
        <v>3996.768</v>
      </c>
      <c r="O126" s="511">
        <f t="shared" si="16"/>
        <v>749.394</v>
      </c>
      <c r="P126" s="505">
        <f t="shared" si="13"/>
        <v>2398.5296000000003</v>
      </c>
      <c r="Q126" s="505"/>
    </row>
    <row r="127" spans="1:17" ht="22.5" customHeight="1">
      <c r="A127" s="38"/>
      <c r="B127" s="38">
        <v>34</v>
      </c>
      <c r="C127" s="54">
        <v>30000</v>
      </c>
      <c r="D127" s="632" t="s">
        <v>116</v>
      </c>
      <c r="E127" s="89">
        <v>1825</v>
      </c>
      <c r="F127" s="88" t="s">
        <v>366</v>
      </c>
      <c r="G127" s="82">
        <v>1625</v>
      </c>
      <c r="H127" s="617">
        <f t="shared" si="17"/>
        <v>8527.707375000002</v>
      </c>
      <c r="I127" s="511">
        <f t="shared" si="9"/>
        <v>18957.25</v>
      </c>
      <c r="J127" s="511">
        <f>Ctrl!$J$8</f>
        <v>249798</v>
      </c>
      <c r="K127" s="511"/>
      <c r="L127" s="21">
        <f t="shared" si="10"/>
        <v>7493.94</v>
      </c>
      <c r="M127" s="21">
        <f t="shared" si="11"/>
        <v>4246.566000000001</v>
      </c>
      <c r="N127" s="21">
        <f t="shared" si="12"/>
        <v>3996.768</v>
      </c>
      <c r="O127" s="511">
        <f t="shared" si="16"/>
        <v>749.394</v>
      </c>
      <c r="P127" s="505">
        <f t="shared" si="13"/>
        <v>2436.006625</v>
      </c>
      <c r="Q127" s="505"/>
    </row>
    <row r="128" spans="1:17" ht="22.5" customHeight="1">
      <c r="A128" s="70"/>
      <c r="B128" s="70">
        <v>35</v>
      </c>
      <c r="C128" s="71">
        <v>31686</v>
      </c>
      <c r="D128" s="620" t="s">
        <v>116</v>
      </c>
      <c r="E128" s="574">
        <v>1825</v>
      </c>
      <c r="F128" s="574" t="s">
        <v>37</v>
      </c>
      <c r="G128" s="80">
        <v>1550</v>
      </c>
      <c r="H128" s="80">
        <f t="shared" si="17"/>
        <v>7765.1884500000015</v>
      </c>
      <c r="I128" s="511">
        <f t="shared" si="9"/>
        <v>18082.3</v>
      </c>
      <c r="J128" s="511">
        <f>Ctrl!$J$8</f>
        <v>249798</v>
      </c>
      <c r="K128" s="511"/>
      <c r="L128" s="21">
        <f t="shared" si="10"/>
        <v>7493.94</v>
      </c>
      <c r="M128" s="21">
        <f t="shared" si="11"/>
        <v>4246.566000000001</v>
      </c>
      <c r="N128" s="21">
        <f t="shared" si="12"/>
        <v>3996.768</v>
      </c>
      <c r="O128" s="511">
        <f t="shared" si="16"/>
        <v>749.394</v>
      </c>
      <c r="P128" s="505">
        <f t="shared" si="13"/>
        <v>2323.57555</v>
      </c>
      <c r="Q128" s="505"/>
    </row>
    <row r="129" spans="1:17" ht="22.5" customHeight="1">
      <c r="A129" s="36"/>
      <c r="B129" s="36">
        <v>36</v>
      </c>
      <c r="C129" s="52">
        <v>31686</v>
      </c>
      <c r="D129" s="624" t="s">
        <v>116</v>
      </c>
      <c r="E129" s="57">
        <v>1825</v>
      </c>
      <c r="F129" s="57" t="s">
        <v>145</v>
      </c>
      <c r="G129" s="615">
        <v>1500</v>
      </c>
      <c r="H129" s="651">
        <f t="shared" si="17"/>
        <v>7256.842500000002</v>
      </c>
      <c r="I129" s="511">
        <f t="shared" si="9"/>
        <v>17499</v>
      </c>
      <c r="J129" s="511">
        <f>Ctrl!$J$8</f>
        <v>249798</v>
      </c>
      <c r="K129" s="511"/>
      <c r="L129" s="21">
        <f t="shared" si="10"/>
        <v>7493.94</v>
      </c>
      <c r="M129" s="21">
        <f t="shared" si="11"/>
        <v>4246.566000000001</v>
      </c>
      <c r="N129" s="21">
        <f t="shared" si="12"/>
        <v>3996.768</v>
      </c>
      <c r="O129" s="511">
        <f t="shared" si="16"/>
        <v>749.394</v>
      </c>
      <c r="P129" s="505">
        <f t="shared" si="13"/>
        <v>2248.6215</v>
      </c>
      <c r="Q129" s="505"/>
    </row>
    <row r="130" spans="1:17" ht="22.5" customHeight="1">
      <c r="A130" s="445"/>
      <c r="B130" s="445">
        <v>37</v>
      </c>
      <c r="C130" s="446">
        <v>31686</v>
      </c>
      <c r="D130" s="630" t="s">
        <v>116</v>
      </c>
      <c r="E130" s="447">
        <v>1825</v>
      </c>
      <c r="F130" s="450" t="s">
        <v>276</v>
      </c>
      <c r="G130" s="616">
        <v>1525</v>
      </c>
      <c r="H130" s="616">
        <f t="shared" si="17"/>
        <v>7511.015475000003</v>
      </c>
      <c r="I130" s="511">
        <f t="shared" si="9"/>
        <v>17790.65</v>
      </c>
      <c r="J130" s="511">
        <f>Ctrl!$J$8</f>
        <v>249798</v>
      </c>
      <c r="K130" s="511"/>
      <c r="L130" s="21">
        <f t="shared" si="10"/>
        <v>7493.94</v>
      </c>
      <c r="M130" s="21">
        <f t="shared" si="11"/>
        <v>4246.566000000001</v>
      </c>
      <c r="N130" s="21">
        <f t="shared" si="12"/>
        <v>3996.768</v>
      </c>
      <c r="O130" s="511">
        <f t="shared" si="16"/>
        <v>749.394</v>
      </c>
      <c r="P130" s="505">
        <f t="shared" si="13"/>
        <v>2286.0985250000003</v>
      </c>
      <c r="Q130" s="505"/>
    </row>
    <row r="131" spans="1:17" ht="22.5" customHeight="1">
      <c r="A131" s="39"/>
      <c r="B131" s="39">
        <v>38</v>
      </c>
      <c r="C131" s="51">
        <v>31686</v>
      </c>
      <c r="D131" s="633" t="s">
        <v>116</v>
      </c>
      <c r="E131" s="58">
        <v>1825</v>
      </c>
      <c r="F131" s="58" t="s">
        <v>147</v>
      </c>
      <c r="G131" s="617">
        <v>1575</v>
      </c>
      <c r="H131" s="617">
        <f t="shared" si="17"/>
        <v>8019.361425000003</v>
      </c>
      <c r="I131" s="511">
        <f t="shared" si="9"/>
        <v>18373.95</v>
      </c>
      <c r="J131" s="511">
        <f>Ctrl!$J$8</f>
        <v>249798</v>
      </c>
      <c r="K131" s="511"/>
      <c r="L131" s="21">
        <f t="shared" si="10"/>
        <v>7493.94</v>
      </c>
      <c r="M131" s="21">
        <f t="shared" si="11"/>
        <v>4246.566000000001</v>
      </c>
      <c r="N131" s="21">
        <f t="shared" si="12"/>
        <v>3996.768</v>
      </c>
      <c r="O131" s="511">
        <f t="shared" si="16"/>
        <v>749.394</v>
      </c>
      <c r="P131" s="505">
        <f t="shared" si="13"/>
        <v>2361.052575</v>
      </c>
      <c r="Q131" s="505"/>
    </row>
    <row r="132" spans="1:17" ht="22.5" customHeight="1">
      <c r="A132" s="25"/>
      <c r="B132" s="49">
        <v>39</v>
      </c>
      <c r="C132" s="53">
        <v>31686</v>
      </c>
      <c r="D132" s="627" t="s">
        <v>116</v>
      </c>
      <c r="E132" s="59">
        <v>1825</v>
      </c>
      <c r="F132" s="576" t="s">
        <v>146</v>
      </c>
      <c r="G132" s="618">
        <v>1600</v>
      </c>
      <c r="H132" s="81">
        <f t="shared" si="17"/>
        <v>8273.534400000004</v>
      </c>
      <c r="I132" s="511">
        <f t="shared" si="9"/>
        <v>18665.600000000002</v>
      </c>
      <c r="J132" s="511">
        <f>Ctrl!$J$8</f>
        <v>249798</v>
      </c>
      <c r="K132" s="511"/>
      <c r="L132" s="21">
        <f t="shared" si="10"/>
        <v>7493.94</v>
      </c>
      <c r="M132" s="21">
        <f t="shared" si="11"/>
        <v>4246.566000000001</v>
      </c>
      <c r="N132" s="21">
        <f t="shared" si="12"/>
        <v>3996.768</v>
      </c>
      <c r="O132" s="511">
        <f t="shared" si="16"/>
        <v>749.394</v>
      </c>
      <c r="P132" s="505">
        <f t="shared" si="13"/>
        <v>2398.5296000000003</v>
      </c>
      <c r="Q132" s="505"/>
    </row>
    <row r="133" spans="1:17" ht="22.5" customHeight="1">
      <c r="A133" s="70"/>
      <c r="B133" s="70">
        <v>40</v>
      </c>
      <c r="C133" s="71">
        <v>53328</v>
      </c>
      <c r="D133" s="620" t="s">
        <v>116</v>
      </c>
      <c r="E133" s="574">
        <v>1825</v>
      </c>
      <c r="F133" s="574" t="s">
        <v>37</v>
      </c>
      <c r="G133" s="80">
        <v>1550</v>
      </c>
      <c r="H133" s="80">
        <f t="shared" si="17"/>
        <v>7765.1884500000015</v>
      </c>
      <c r="I133" s="511">
        <f t="shared" si="9"/>
        <v>18082.3</v>
      </c>
      <c r="J133" s="511">
        <f>Ctrl!$J$8</f>
        <v>249798</v>
      </c>
      <c r="K133" s="511"/>
      <c r="L133" s="21">
        <f t="shared" si="10"/>
        <v>7493.94</v>
      </c>
      <c r="M133" s="21">
        <f t="shared" si="11"/>
        <v>4246.566000000001</v>
      </c>
      <c r="N133" s="21">
        <f t="shared" si="12"/>
        <v>3996.768</v>
      </c>
      <c r="O133" s="511">
        <f t="shared" si="16"/>
        <v>749.394</v>
      </c>
      <c r="P133" s="505">
        <f t="shared" si="13"/>
        <v>2323.57555</v>
      </c>
      <c r="Q133" s="505"/>
    </row>
    <row r="134" spans="1:17" ht="22.5" customHeight="1">
      <c r="A134" s="36"/>
      <c r="B134" s="48">
        <v>41</v>
      </c>
      <c r="C134" s="52">
        <v>53328</v>
      </c>
      <c r="D134" s="624" t="s">
        <v>116</v>
      </c>
      <c r="E134" s="57">
        <v>1825</v>
      </c>
      <c r="F134" s="57" t="s">
        <v>418</v>
      </c>
      <c r="G134" s="77">
        <v>1500</v>
      </c>
      <c r="H134" s="77">
        <f t="shared" si="17"/>
        <v>7256.842500000002</v>
      </c>
      <c r="I134" s="511">
        <f aca="true" t="shared" si="18" ref="I134:I197">G134*$I$2</f>
        <v>17499</v>
      </c>
      <c r="J134" s="511">
        <f>Ctrl!$J$8</f>
        <v>249798</v>
      </c>
      <c r="K134" s="511"/>
      <c r="L134" s="21">
        <f aca="true" t="shared" si="19" ref="L134:L197">$L$2*J134</f>
        <v>7493.94</v>
      </c>
      <c r="M134" s="21">
        <f aca="true" t="shared" si="20" ref="M134:M197">$M$2*J134</f>
        <v>4246.566000000001</v>
      </c>
      <c r="N134" s="21">
        <f aca="true" t="shared" si="21" ref="N134:N197">$N$2*J134</f>
        <v>3996.768</v>
      </c>
      <c r="O134" s="511">
        <f t="shared" si="16"/>
        <v>749.394</v>
      </c>
      <c r="P134" s="505">
        <f aca="true" t="shared" si="22" ref="P134:P197">$P$2*I134</f>
        <v>2248.6215</v>
      </c>
      <c r="Q134" s="505"/>
    </row>
    <row r="135" spans="1:17" ht="22.5" customHeight="1">
      <c r="A135" s="445"/>
      <c r="B135" s="445">
        <v>42</v>
      </c>
      <c r="C135" s="446">
        <v>53328</v>
      </c>
      <c r="D135" s="630" t="s">
        <v>116</v>
      </c>
      <c r="E135" s="447">
        <v>1825</v>
      </c>
      <c r="F135" s="448" t="s">
        <v>236</v>
      </c>
      <c r="G135" s="449">
        <v>1525</v>
      </c>
      <c r="H135" s="616">
        <f t="shared" si="17"/>
        <v>7511.015475000003</v>
      </c>
      <c r="I135" s="511">
        <f t="shared" si="18"/>
        <v>17790.65</v>
      </c>
      <c r="J135" s="511">
        <f>Ctrl!$J$8</f>
        <v>249798</v>
      </c>
      <c r="K135" s="511"/>
      <c r="L135" s="21">
        <f t="shared" si="19"/>
        <v>7493.94</v>
      </c>
      <c r="M135" s="21">
        <f t="shared" si="20"/>
        <v>4246.566000000001</v>
      </c>
      <c r="N135" s="21">
        <f t="shared" si="21"/>
        <v>3996.768</v>
      </c>
      <c r="O135" s="511">
        <f t="shared" si="16"/>
        <v>749.394</v>
      </c>
      <c r="P135" s="505">
        <f t="shared" si="22"/>
        <v>2286.0985250000003</v>
      </c>
      <c r="Q135" s="505"/>
    </row>
    <row r="136" spans="1:17" ht="22.5" customHeight="1">
      <c r="A136" s="39"/>
      <c r="B136" s="39">
        <v>43</v>
      </c>
      <c r="C136" s="51">
        <v>53328</v>
      </c>
      <c r="D136" s="633" t="s">
        <v>116</v>
      </c>
      <c r="E136" s="58">
        <v>1825</v>
      </c>
      <c r="F136" s="58" t="s">
        <v>147</v>
      </c>
      <c r="G136" s="99">
        <v>1575</v>
      </c>
      <c r="H136" s="617">
        <f t="shared" si="17"/>
        <v>8019.361425000003</v>
      </c>
      <c r="I136" s="511">
        <f t="shared" si="18"/>
        <v>18373.95</v>
      </c>
      <c r="J136" s="511">
        <f>Ctrl!$J$8</f>
        <v>249798</v>
      </c>
      <c r="K136" s="511"/>
      <c r="L136" s="21">
        <f t="shared" si="19"/>
        <v>7493.94</v>
      </c>
      <c r="M136" s="21">
        <f t="shared" si="20"/>
        <v>4246.566000000001</v>
      </c>
      <c r="N136" s="21">
        <f t="shared" si="21"/>
        <v>3996.768</v>
      </c>
      <c r="O136" s="511">
        <f t="shared" si="16"/>
        <v>749.394</v>
      </c>
      <c r="P136" s="505">
        <f t="shared" si="22"/>
        <v>2361.052575</v>
      </c>
      <c r="Q136" s="505"/>
    </row>
    <row r="137" spans="1:17" ht="22.5" customHeight="1">
      <c r="A137" s="25"/>
      <c r="B137" s="49">
        <v>44</v>
      </c>
      <c r="C137" s="53">
        <v>53328</v>
      </c>
      <c r="D137" s="627" t="s">
        <v>116</v>
      </c>
      <c r="E137" s="59">
        <v>1825</v>
      </c>
      <c r="F137" s="576" t="s">
        <v>146</v>
      </c>
      <c r="G137" s="81">
        <v>1600</v>
      </c>
      <c r="H137" s="81">
        <f t="shared" si="17"/>
        <v>8273.534400000004</v>
      </c>
      <c r="I137" s="511">
        <f t="shared" si="18"/>
        <v>18665.600000000002</v>
      </c>
      <c r="J137" s="511">
        <f>Ctrl!$J$8</f>
        <v>249798</v>
      </c>
      <c r="K137" s="511"/>
      <c r="L137" s="21">
        <f t="shared" si="19"/>
        <v>7493.94</v>
      </c>
      <c r="M137" s="21">
        <f t="shared" si="20"/>
        <v>4246.566000000001</v>
      </c>
      <c r="N137" s="21">
        <f t="shared" si="21"/>
        <v>3996.768</v>
      </c>
      <c r="O137" s="511">
        <f t="shared" si="16"/>
        <v>749.394</v>
      </c>
      <c r="P137" s="505">
        <f t="shared" si="22"/>
        <v>2398.5296000000003</v>
      </c>
      <c r="Q137" s="505"/>
    </row>
    <row r="138" spans="1:17" ht="22.5" customHeight="1">
      <c r="A138" s="70"/>
      <c r="B138" s="70">
        <v>1</v>
      </c>
      <c r="C138" s="71">
        <v>7116</v>
      </c>
      <c r="D138" s="620" t="s">
        <v>370</v>
      </c>
      <c r="E138" s="574">
        <v>2525</v>
      </c>
      <c r="F138" s="87" t="s">
        <v>331</v>
      </c>
      <c r="G138" s="80">
        <v>1475</v>
      </c>
      <c r="H138" s="80">
        <f t="shared" si="17"/>
        <v>4664.2695250000015</v>
      </c>
      <c r="I138" s="511">
        <f t="shared" si="18"/>
        <v>17207.350000000002</v>
      </c>
      <c r="J138" s="511">
        <f>Ctrl!$J$10</f>
        <v>322873</v>
      </c>
      <c r="K138" s="511"/>
      <c r="L138" s="21">
        <f t="shared" si="19"/>
        <v>9686.19</v>
      </c>
      <c r="M138" s="21">
        <f t="shared" si="20"/>
        <v>5488.841</v>
      </c>
      <c r="N138" s="21">
        <f t="shared" si="21"/>
        <v>5165.968</v>
      </c>
      <c r="O138" s="511">
        <f t="shared" si="16"/>
        <v>968.619</v>
      </c>
      <c r="P138" s="505">
        <f t="shared" si="22"/>
        <v>2211.1444750000005</v>
      </c>
      <c r="Q138" s="505"/>
    </row>
    <row r="139" spans="1:17" ht="22.5" customHeight="1">
      <c r="A139" s="498"/>
      <c r="B139" s="498">
        <v>2</v>
      </c>
      <c r="C139" s="499">
        <v>7116</v>
      </c>
      <c r="D139" s="498" t="s">
        <v>374</v>
      </c>
      <c r="E139" s="500">
        <v>2525</v>
      </c>
      <c r="F139" s="500" t="s">
        <v>90</v>
      </c>
      <c r="G139" s="502">
        <v>1475</v>
      </c>
      <c r="H139" s="502">
        <f t="shared" si="17"/>
        <v>4664.2695250000015</v>
      </c>
      <c r="I139" s="511">
        <f t="shared" si="18"/>
        <v>17207.350000000002</v>
      </c>
      <c r="J139" s="511">
        <f>Ctrl!$J$10</f>
        <v>322873</v>
      </c>
      <c r="K139" s="511"/>
      <c r="L139" s="21">
        <f t="shared" si="19"/>
        <v>9686.19</v>
      </c>
      <c r="M139" s="21">
        <f t="shared" si="20"/>
        <v>5488.841</v>
      </c>
      <c r="N139" s="21">
        <f t="shared" si="21"/>
        <v>5165.968</v>
      </c>
      <c r="O139" s="511">
        <f t="shared" si="16"/>
        <v>968.619</v>
      </c>
      <c r="P139" s="505">
        <f t="shared" si="22"/>
        <v>2211.1444750000005</v>
      </c>
      <c r="Q139" s="508"/>
    </row>
    <row r="140" spans="1:17" ht="22.5" customHeight="1">
      <c r="A140" s="36"/>
      <c r="B140" s="36">
        <v>3</v>
      </c>
      <c r="C140" s="55">
        <v>7116</v>
      </c>
      <c r="D140" s="624" t="s">
        <v>374</v>
      </c>
      <c r="E140" s="57">
        <v>2525</v>
      </c>
      <c r="F140" s="57" t="s">
        <v>211</v>
      </c>
      <c r="G140" s="77">
        <v>1425</v>
      </c>
      <c r="H140" s="77">
        <f t="shared" si="17"/>
        <v>4155.923575</v>
      </c>
      <c r="I140" s="511">
        <f t="shared" si="18"/>
        <v>16624.05</v>
      </c>
      <c r="J140" s="511">
        <f>Ctrl!$J$10</f>
        <v>322873</v>
      </c>
      <c r="K140" s="511"/>
      <c r="L140" s="21">
        <f t="shared" si="19"/>
        <v>9686.19</v>
      </c>
      <c r="M140" s="21">
        <f t="shared" si="20"/>
        <v>5488.841</v>
      </c>
      <c r="N140" s="21">
        <f t="shared" si="21"/>
        <v>5165.968</v>
      </c>
      <c r="O140" s="511">
        <f t="shared" si="16"/>
        <v>968.619</v>
      </c>
      <c r="P140" s="505">
        <f t="shared" si="22"/>
        <v>2136.190425</v>
      </c>
      <c r="Q140" s="505"/>
    </row>
    <row r="141" spans="1:17" ht="22.5" customHeight="1">
      <c r="A141" s="39"/>
      <c r="B141" s="39">
        <v>4</v>
      </c>
      <c r="C141" s="51">
        <v>7116</v>
      </c>
      <c r="D141" s="39" t="s">
        <v>359</v>
      </c>
      <c r="E141" s="58">
        <v>2525</v>
      </c>
      <c r="F141" s="58" t="s">
        <v>214</v>
      </c>
      <c r="G141" s="99">
        <v>1500</v>
      </c>
      <c r="H141" s="617">
        <f t="shared" si="17"/>
        <v>4918.4425</v>
      </c>
      <c r="I141" s="511">
        <f t="shared" si="18"/>
        <v>17499</v>
      </c>
      <c r="J141" s="511">
        <f>Ctrl!$J$10</f>
        <v>322873</v>
      </c>
      <c r="K141" s="511"/>
      <c r="L141" s="21">
        <f t="shared" si="19"/>
        <v>9686.19</v>
      </c>
      <c r="M141" s="21">
        <f t="shared" si="20"/>
        <v>5488.841</v>
      </c>
      <c r="N141" s="21">
        <f t="shared" si="21"/>
        <v>5165.968</v>
      </c>
      <c r="O141" s="511">
        <f t="shared" si="16"/>
        <v>968.619</v>
      </c>
      <c r="P141" s="505">
        <f t="shared" si="22"/>
        <v>2248.6215</v>
      </c>
      <c r="Q141" s="508"/>
    </row>
    <row r="142" spans="1:17" ht="22.5" customHeight="1">
      <c r="A142" s="25"/>
      <c r="B142" s="22">
        <v>5</v>
      </c>
      <c r="C142" s="53">
        <v>7116</v>
      </c>
      <c r="D142" s="627" t="s">
        <v>246</v>
      </c>
      <c r="E142" s="59">
        <v>2525</v>
      </c>
      <c r="F142" s="59" t="s">
        <v>146</v>
      </c>
      <c r="G142" s="81">
        <v>1525</v>
      </c>
      <c r="H142" s="81">
        <f t="shared" si="17"/>
        <v>5172.615475000002</v>
      </c>
      <c r="I142" s="511">
        <f t="shared" si="18"/>
        <v>17790.65</v>
      </c>
      <c r="J142" s="511">
        <f>Ctrl!$J$10</f>
        <v>322873</v>
      </c>
      <c r="K142" s="511"/>
      <c r="L142" s="21">
        <f t="shared" si="19"/>
        <v>9686.19</v>
      </c>
      <c r="M142" s="21">
        <f t="shared" si="20"/>
        <v>5488.841</v>
      </c>
      <c r="N142" s="21">
        <f t="shared" si="21"/>
        <v>5165.968</v>
      </c>
      <c r="O142" s="511">
        <f t="shared" si="16"/>
        <v>968.619</v>
      </c>
      <c r="P142" s="505">
        <f t="shared" si="22"/>
        <v>2286.0985250000003</v>
      </c>
      <c r="Q142" s="505"/>
    </row>
    <row r="143" spans="1:17" ht="22.5" customHeight="1">
      <c r="A143" s="70"/>
      <c r="B143" s="70">
        <v>6</v>
      </c>
      <c r="C143" s="71">
        <v>10000</v>
      </c>
      <c r="D143" s="620" t="s">
        <v>365</v>
      </c>
      <c r="E143" s="574">
        <v>2525</v>
      </c>
      <c r="F143" s="87" t="s">
        <v>37</v>
      </c>
      <c r="G143" s="80">
        <v>1525</v>
      </c>
      <c r="H143" s="80">
        <f t="shared" si="17"/>
        <v>5172.615475000002</v>
      </c>
      <c r="I143" s="511">
        <f t="shared" si="18"/>
        <v>17790.65</v>
      </c>
      <c r="J143" s="511">
        <f>Ctrl!$J$10</f>
        <v>322873</v>
      </c>
      <c r="K143" s="511"/>
      <c r="L143" s="21">
        <f t="shared" si="19"/>
        <v>9686.19</v>
      </c>
      <c r="M143" s="21">
        <f t="shared" si="20"/>
        <v>5488.841</v>
      </c>
      <c r="N143" s="21">
        <f t="shared" si="21"/>
        <v>5165.968</v>
      </c>
      <c r="O143" s="511">
        <f t="shared" si="16"/>
        <v>968.619</v>
      </c>
      <c r="P143" s="505">
        <f t="shared" si="22"/>
        <v>2286.0985250000003</v>
      </c>
      <c r="Q143" s="505"/>
    </row>
    <row r="144" spans="1:17" ht="22.5" customHeight="1">
      <c r="A144" s="359"/>
      <c r="B144" s="359">
        <v>7</v>
      </c>
      <c r="C144" s="643">
        <v>10000</v>
      </c>
      <c r="D144" s="83" t="s">
        <v>361</v>
      </c>
      <c r="E144" s="361">
        <v>2525</v>
      </c>
      <c r="F144" s="86" t="s">
        <v>247</v>
      </c>
      <c r="G144" s="91">
        <v>1500</v>
      </c>
      <c r="H144" s="91">
        <f t="shared" si="17"/>
        <v>4918.4425</v>
      </c>
      <c r="I144" s="511">
        <f t="shared" si="18"/>
        <v>17499</v>
      </c>
      <c r="J144" s="511">
        <f>Ctrl!$J$10</f>
        <v>322873</v>
      </c>
      <c r="K144" s="511"/>
      <c r="L144" s="21">
        <f t="shared" si="19"/>
        <v>9686.19</v>
      </c>
      <c r="M144" s="21">
        <f t="shared" si="20"/>
        <v>5488.841</v>
      </c>
      <c r="N144" s="21">
        <f t="shared" si="21"/>
        <v>5165.968</v>
      </c>
      <c r="O144" s="511">
        <f t="shared" si="16"/>
        <v>968.619</v>
      </c>
      <c r="P144" s="505">
        <f t="shared" si="22"/>
        <v>2248.6215</v>
      </c>
      <c r="Q144" s="505"/>
    </row>
    <row r="145" spans="1:17" ht="22.5" customHeight="1">
      <c r="A145" s="36"/>
      <c r="B145" s="36">
        <v>8</v>
      </c>
      <c r="C145" s="52">
        <v>10000</v>
      </c>
      <c r="D145" s="624" t="s">
        <v>246</v>
      </c>
      <c r="E145" s="57">
        <v>2525</v>
      </c>
      <c r="F145" s="57" t="s">
        <v>418</v>
      </c>
      <c r="G145" s="77">
        <v>1475</v>
      </c>
      <c r="H145" s="77">
        <f t="shared" si="17"/>
        <v>4664.2695250000015</v>
      </c>
      <c r="I145" s="511">
        <f t="shared" si="18"/>
        <v>17207.350000000002</v>
      </c>
      <c r="J145" s="511">
        <f>Ctrl!$J$10</f>
        <v>322873</v>
      </c>
      <c r="K145" s="511"/>
      <c r="L145" s="21">
        <f t="shared" si="19"/>
        <v>9686.19</v>
      </c>
      <c r="M145" s="21">
        <f t="shared" si="20"/>
        <v>5488.841</v>
      </c>
      <c r="N145" s="21">
        <f t="shared" si="21"/>
        <v>5165.968</v>
      </c>
      <c r="O145" s="511">
        <f t="shared" si="16"/>
        <v>968.619</v>
      </c>
      <c r="P145" s="505">
        <f t="shared" si="22"/>
        <v>2211.1444750000005</v>
      </c>
      <c r="Q145" s="505"/>
    </row>
    <row r="146" spans="1:17" ht="22.5" customHeight="1">
      <c r="A146" s="445"/>
      <c r="B146" s="445">
        <v>9</v>
      </c>
      <c r="C146" s="446">
        <v>10000</v>
      </c>
      <c r="D146" s="630" t="s">
        <v>246</v>
      </c>
      <c r="E146" s="447">
        <v>2525</v>
      </c>
      <c r="F146" s="448" t="s">
        <v>236</v>
      </c>
      <c r="G146" s="449">
        <v>1500</v>
      </c>
      <c r="H146" s="616">
        <f t="shared" si="17"/>
        <v>4918.4425</v>
      </c>
      <c r="I146" s="511">
        <f t="shared" si="18"/>
        <v>17499</v>
      </c>
      <c r="J146" s="511">
        <f>Ctrl!$J$10</f>
        <v>322873</v>
      </c>
      <c r="K146" s="511"/>
      <c r="L146" s="21">
        <f t="shared" si="19"/>
        <v>9686.19</v>
      </c>
      <c r="M146" s="21">
        <f t="shared" si="20"/>
        <v>5488.841</v>
      </c>
      <c r="N146" s="21">
        <f t="shared" si="21"/>
        <v>5165.968</v>
      </c>
      <c r="O146" s="511">
        <f aca="true" t="shared" si="23" ref="O146:O177">$O$2*J146</f>
        <v>968.619</v>
      </c>
      <c r="P146" s="505">
        <f t="shared" si="22"/>
        <v>2248.6215</v>
      </c>
      <c r="Q146" s="505"/>
    </row>
    <row r="147" spans="1:17" ht="22.5" customHeight="1">
      <c r="A147" s="39"/>
      <c r="B147" s="39">
        <v>10</v>
      </c>
      <c r="C147" s="51">
        <v>10000</v>
      </c>
      <c r="D147" s="633" t="s">
        <v>246</v>
      </c>
      <c r="E147" s="58">
        <v>2525</v>
      </c>
      <c r="F147" s="58" t="s">
        <v>147</v>
      </c>
      <c r="G147" s="99">
        <v>1550</v>
      </c>
      <c r="H147" s="617">
        <f t="shared" si="17"/>
        <v>5426.78845</v>
      </c>
      <c r="I147" s="511">
        <f t="shared" si="18"/>
        <v>18082.3</v>
      </c>
      <c r="J147" s="511">
        <f>Ctrl!$J$10</f>
        <v>322873</v>
      </c>
      <c r="K147" s="511"/>
      <c r="L147" s="21">
        <f t="shared" si="19"/>
        <v>9686.19</v>
      </c>
      <c r="M147" s="21">
        <f t="shared" si="20"/>
        <v>5488.841</v>
      </c>
      <c r="N147" s="21">
        <f t="shared" si="21"/>
        <v>5165.968</v>
      </c>
      <c r="O147" s="511">
        <f t="shared" si="23"/>
        <v>968.619</v>
      </c>
      <c r="P147" s="505">
        <f t="shared" si="22"/>
        <v>2323.57555</v>
      </c>
      <c r="Q147" s="505"/>
    </row>
    <row r="148" spans="1:17" ht="22.5" customHeight="1">
      <c r="A148" s="25"/>
      <c r="B148" s="25">
        <v>11</v>
      </c>
      <c r="C148" s="53">
        <v>10000</v>
      </c>
      <c r="D148" s="627" t="s">
        <v>246</v>
      </c>
      <c r="E148" s="59">
        <v>2525</v>
      </c>
      <c r="F148" s="59" t="s">
        <v>146</v>
      </c>
      <c r="G148" s="81">
        <v>1575</v>
      </c>
      <c r="H148" s="81">
        <f t="shared" si="17"/>
        <v>5680.961425000001</v>
      </c>
      <c r="I148" s="511">
        <f t="shared" si="18"/>
        <v>18373.95</v>
      </c>
      <c r="J148" s="511">
        <f>Ctrl!$J$10</f>
        <v>322873</v>
      </c>
      <c r="K148" s="511"/>
      <c r="L148" s="21">
        <f t="shared" si="19"/>
        <v>9686.19</v>
      </c>
      <c r="M148" s="21">
        <f t="shared" si="20"/>
        <v>5488.841</v>
      </c>
      <c r="N148" s="21">
        <f t="shared" si="21"/>
        <v>5165.968</v>
      </c>
      <c r="O148" s="511">
        <f t="shared" si="23"/>
        <v>968.619</v>
      </c>
      <c r="P148" s="505">
        <f t="shared" si="22"/>
        <v>2361.052575</v>
      </c>
      <c r="Q148" s="505"/>
    </row>
    <row r="149" spans="1:17" ht="22.5" customHeight="1">
      <c r="A149" s="70"/>
      <c r="B149" s="70">
        <v>12</v>
      </c>
      <c r="C149" s="71">
        <v>15000</v>
      </c>
      <c r="D149" s="620" t="s">
        <v>246</v>
      </c>
      <c r="E149" s="574">
        <v>2525</v>
      </c>
      <c r="F149" s="574" t="s">
        <v>37</v>
      </c>
      <c r="G149" s="80">
        <v>1600</v>
      </c>
      <c r="H149" s="80">
        <f t="shared" si="17"/>
        <v>5935.134400000003</v>
      </c>
      <c r="I149" s="511">
        <f t="shared" si="18"/>
        <v>18665.600000000002</v>
      </c>
      <c r="J149" s="511">
        <f>Ctrl!$J$10</f>
        <v>322873</v>
      </c>
      <c r="K149" s="511"/>
      <c r="L149" s="21">
        <f t="shared" si="19"/>
        <v>9686.19</v>
      </c>
      <c r="M149" s="21">
        <f t="shared" si="20"/>
        <v>5488.841</v>
      </c>
      <c r="N149" s="21">
        <f t="shared" si="21"/>
        <v>5165.968</v>
      </c>
      <c r="O149" s="511">
        <f t="shared" si="23"/>
        <v>968.619</v>
      </c>
      <c r="P149" s="505">
        <f t="shared" si="22"/>
        <v>2398.5296000000003</v>
      </c>
      <c r="Q149" s="505"/>
    </row>
    <row r="150" spans="1:17" ht="22.5" customHeight="1">
      <c r="A150" s="36"/>
      <c r="B150" s="36">
        <v>13</v>
      </c>
      <c r="C150" s="55">
        <v>15000</v>
      </c>
      <c r="D150" s="624" t="s">
        <v>246</v>
      </c>
      <c r="E150" s="57">
        <v>2525</v>
      </c>
      <c r="F150" s="57" t="s">
        <v>145</v>
      </c>
      <c r="G150" s="77">
        <v>1550</v>
      </c>
      <c r="H150" s="77">
        <f aca="true" t="shared" si="24" ref="H150:H181">I150-L150+M150-N150-O150-P150</f>
        <v>5426.78845</v>
      </c>
      <c r="I150" s="511">
        <f t="shared" si="18"/>
        <v>18082.3</v>
      </c>
      <c r="J150" s="511">
        <f>Ctrl!$J$10</f>
        <v>322873</v>
      </c>
      <c r="K150" s="511"/>
      <c r="L150" s="21">
        <f t="shared" si="19"/>
        <v>9686.19</v>
      </c>
      <c r="M150" s="21">
        <f t="shared" si="20"/>
        <v>5488.841</v>
      </c>
      <c r="N150" s="21">
        <f t="shared" si="21"/>
        <v>5165.968</v>
      </c>
      <c r="O150" s="511">
        <f t="shared" si="23"/>
        <v>968.619</v>
      </c>
      <c r="P150" s="505">
        <f t="shared" si="22"/>
        <v>2323.57555</v>
      </c>
      <c r="Q150" s="505"/>
    </row>
    <row r="151" spans="1:17" ht="22.5" customHeight="1">
      <c r="A151" s="445"/>
      <c r="B151" s="445">
        <v>14</v>
      </c>
      <c r="C151" s="446">
        <v>15000</v>
      </c>
      <c r="D151" s="630" t="s">
        <v>246</v>
      </c>
      <c r="E151" s="447">
        <v>2525</v>
      </c>
      <c r="F151" s="450" t="s">
        <v>276</v>
      </c>
      <c r="G151" s="449">
        <v>1575</v>
      </c>
      <c r="H151" s="616">
        <f t="shared" si="24"/>
        <v>5680.961425000001</v>
      </c>
      <c r="I151" s="511">
        <f t="shared" si="18"/>
        <v>18373.95</v>
      </c>
      <c r="J151" s="511">
        <f>Ctrl!$J$10</f>
        <v>322873</v>
      </c>
      <c r="K151" s="511"/>
      <c r="L151" s="21">
        <f t="shared" si="19"/>
        <v>9686.19</v>
      </c>
      <c r="M151" s="21">
        <f t="shared" si="20"/>
        <v>5488.841</v>
      </c>
      <c r="N151" s="21">
        <f t="shared" si="21"/>
        <v>5165.968</v>
      </c>
      <c r="O151" s="511">
        <f t="shared" si="23"/>
        <v>968.619</v>
      </c>
      <c r="P151" s="505">
        <f t="shared" si="22"/>
        <v>2361.052575</v>
      </c>
      <c r="Q151" s="505"/>
    </row>
    <row r="152" spans="1:17" ht="22.5" customHeight="1">
      <c r="A152" s="39"/>
      <c r="B152" s="39">
        <v>15</v>
      </c>
      <c r="C152" s="51">
        <v>15000</v>
      </c>
      <c r="D152" s="633" t="s">
        <v>246</v>
      </c>
      <c r="E152" s="58">
        <v>2525</v>
      </c>
      <c r="F152" s="58" t="s">
        <v>147</v>
      </c>
      <c r="G152" s="99">
        <v>1625</v>
      </c>
      <c r="H152" s="617">
        <f t="shared" si="24"/>
        <v>6189.307375</v>
      </c>
      <c r="I152" s="511">
        <f t="shared" si="18"/>
        <v>18957.25</v>
      </c>
      <c r="J152" s="511">
        <f>Ctrl!$J$10</f>
        <v>322873</v>
      </c>
      <c r="K152" s="511"/>
      <c r="L152" s="21">
        <f t="shared" si="19"/>
        <v>9686.19</v>
      </c>
      <c r="M152" s="21">
        <f t="shared" si="20"/>
        <v>5488.841</v>
      </c>
      <c r="N152" s="21">
        <f t="shared" si="21"/>
        <v>5165.968</v>
      </c>
      <c r="O152" s="511">
        <f t="shared" si="23"/>
        <v>968.619</v>
      </c>
      <c r="P152" s="505">
        <f t="shared" si="22"/>
        <v>2436.006625</v>
      </c>
      <c r="Q152" s="505"/>
    </row>
    <row r="153" spans="1:17" ht="22.5" customHeight="1">
      <c r="A153" s="25"/>
      <c r="B153" s="25">
        <v>16</v>
      </c>
      <c r="C153" s="37">
        <v>15000</v>
      </c>
      <c r="D153" s="627" t="s">
        <v>246</v>
      </c>
      <c r="E153" s="59">
        <v>2525</v>
      </c>
      <c r="F153" s="59" t="s">
        <v>146</v>
      </c>
      <c r="G153" s="81">
        <v>1650</v>
      </c>
      <c r="H153" s="81">
        <f t="shared" si="24"/>
        <v>6443.480350000002</v>
      </c>
      <c r="I153" s="511">
        <f t="shared" si="18"/>
        <v>19248.9</v>
      </c>
      <c r="J153" s="511">
        <f>Ctrl!$J$10</f>
        <v>322873</v>
      </c>
      <c r="K153" s="511"/>
      <c r="L153" s="21">
        <f t="shared" si="19"/>
        <v>9686.19</v>
      </c>
      <c r="M153" s="21">
        <f t="shared" si="20"/>
        <v>5488.841</v>
      </c>
      <c r="N153" s="21">
        <f t="shared" si="21"/>
        <v>5165.968</v>
      </c>
      <c r="O153" s="511">
        <f t="shared" si="23"/>
        <v>968.619</v>
      </c>
      <c r="P153" s="505">
        <f t="shared" si="22"/>
        <v>2473.48365</v>
      </c>
      <c r="Q153" s="505"/>
    </row>
    <row r="154" spans="1:17" ht="22.5" customHeight="1">
      <c r="A154" s="70"/>
      <c r="B154" s="70">
        <v>17</v>
      </c>
      <c r="C154" s="71">
        <v>20000</v>
      </c>
      <c r="D154" s="620" t="s">
        <v>246</v>
      </c>
      <c r="E154" s="574">
        <v>2525</v>
      </c>
      <c r="F154" s="574" t="s">
        <v>37</v>
      </c>
      <c r="G154" s="80">
        <v>1650</v>
      </c>
      <c r="H154" s="80">
        <f t="shared" si="24"/>
        <v>6443.480350000002</v>
      </c>
      <c r="I154" s="511">
        <f t="shared" si="18"/>
        <v>19248.9</v>
      </c>
      <c r="J154" s="511">
        <f>Ctrl!$J$10</f>
        <v>322873</v>
      </c>
      <c r="K154" s="511"/>
      <c r="L154" s="21">
        <f t="shared" si="19"/>
        <v>9686.19</v>
      </c>
      <c r="M154" s="21">
        <f t="shared" si="20"/>
        <v>5488.841</v>
      </c>
      <c r="N154" s="21">
        <f t="shared" si="21"/>
        <v>5165.968</v>
      </c>
      <c r="O154" s="511">
        <f t="shared" si="23"/>
        <v>968.619</v>
      </c>
      <c r="P154" s="505">
        <f t="shared" si="22"/>
        <v>2473.48365</v>
      </c>
      <c r="Q154" s="505"/>
    </row>
    <row r="155" spans="1:17" ht="22.5" customHeight="1">
      <c r="A155" s="36"/>
      <c r="B155" s="36">
        <v>18</v>
      </c>
      <c r="C155" s="55">
        <v>20000</v>
      </c>
      <c r="D155" s="624" t="s">
        <v>246</v>
      </c>
      <c r="E155" s="57">
        <v>2525</v>
      </c>
      <c r="F155" s="57" t="s">
        <v>145</v>
      </c>
      <c r="G155" s="77">
        <v>1600</v>
      </c>
      <c r="H155" s="77">
        <f t="shared" si="24"/>
        <v>5935.134400000003</v>
      </c>
      <c r="I155" s="511">
        <f t="shared" si="18"/>
        <v>18665.600000000002</v>
      </c>
      <c r="J155" s="511">
        <f>Ctrl!$J$10</f>
        <v>322873</v>
      </c>
      <c r="K155" s="511"/>
      <c r="L155" s="21">
        <f t="shared" si="19"/>
        <v>9686.19</v>
      </c>
      <c r="M155" s="21">
        <f t="shared" si="20"/>
        <v>5488.841</v>
      </c>
      <c r="N155" s="21">
        <f t="shared" si="21"/>
        <v>5165.968</v>
      </c>
      <c r="O155" s="511">
        <f t="shared" si="23"/>
        <v>968.619</v>
      </c>
      <c r="P155" s="505">
        <f t="shared" si="22"/>
        <v>2398.5296000000003</v>
      </c>
      <c r="Q155" s="505"/>
    </row>
    <row r="156" spans="1:17" ht="22.5" customHeight="1">
      <c r="A156" s="445"/>
      <c r="B156" s="445">
        <v>19</v>
      </c>
      <c r="C156" s="446">
        <v>20000</v>
      </c>
      <c r="D156" s="630" t="s">
        <v>246</v>
      </c>
      <c r="E156" s="447">
        <v>2525</v>
      </c>
      <c r="F156" s="448" t="s">
        <v>363</v>
      </c>
      <c r="G156" s="449">
        <v>1625</v>
      </c>
      <c r="H156" s="616">
        <f t="shared" si="24"/>
        <v>6189.307375</v>
      </c>
      <c r="I156" s="511">
        <f t="shared" si="18"/>
        <v>18957.25</v>
      </c>
      <c r="J156" s="511">
        <f>Ctrl!$J$10</f>
        <v>322873</v>
      </c>
      <c r="K156" s="511"/>
      <c r="L156" s="21">
        <f t="shared" si="19"/>
        <v>9686.19</v>
      </c>
      <c r="M156" s="21">
        <f t="shared" si="20"/>
        <v>5488.841</v>
      </c>
      <c r="N156" s="21">
        <f t="shared" si="21"/>
        <v>5165.968</v>
      </c>
      <c r="O156" s="511">
        <f t="shared" si="23"/>
        <v>968.619</v>
      </c>
      <c r="P156" s="505">
        <f t="shared" si="22"/>
        <v>2436.006625</v>
      </c>
      <c r="Q156" s="505"/>
    </row>
    <row r="157" spans="1:17" ht="22.5" customHeight="1">
      <c r="A157" s="39"/>
      <c r="B157" s="38">
        <v>20</v>
      </c>
      <c r="C157" s="51">
        <v>20000</v>
      </c>
      <c r="D157" s="633" t="s">
        <v>246</v>
      </c>
      <c r="E157" s="58">
        <v>2525</v>
      </c>
      <c r="F157" s="58" t="s">
        <v>147</v>
      </c>
      <c r="G157" s="99">
        <v>1675</v>
      </c>
      <c r="H157" s="617">
        <f t="shared" si="24"/>
        <v>6697.653324999999</v>
      </c>
      <c r="I157" s="511">
        <f t="shared" si="18"/>
        <v>19540.55</v>
      </c>
      <c r="J157" s="511">
        <f>Ctrl!$J$10</f>
        <v>322873</v>
      </c>
      <c r="K157" s="511"/>
      <c r="L157" s="21">
        <f t="shared" si="19"/>
        <v>9686.19</v>
      </c>
      <c r="M157" s="21">
        <f t="shared" si="20"/>
        <v>5488.841</v>
      </c>
      <c r="N157" s="21">
        <f t="shared" si="21"/>
        <v>5165.968</v>
      </c>
      <c r="O157" s="511">
        <f t="shared" si="23"/>
        <v>968.619</v>
      </c>
      <c r="P157" s="505">
        <f t="shared" si="22"/>
        <v>2510.960675</v>
      </c>
      <c r="Q157" s="505"/>
    </row>
    <row r="158" spans="1:17" ht="22.5" customHeight="1">
      <c r="A158" s="25"/>
      <c r="B158" s="25">
        <v>21</v>
      </c>
      <c r="C158" s="37">
        <v>20000</v>
      </c>
      <c r="D158" s="627" t="s">
        <v>246</v>
      </c>
      <c r="E158" s="59">
        <v>2525</v>
      </c>
      <c r="F158" s="576" t="s">
        <v>146</v>
      </c>
      <c r="G158" s="81">
        <v>1700</v>
      </c>
      <c r="H158" s="81">
        <f t="shared" si="24"/>
        <v>6951.826300000001</v>
      </c>
      <c r="I158" s="511">
        <f t="shared" si="18"/>
        <v>19832.2</v>
      </c>
      <c r="J158" s="511">
        <f>Ctrl!$J$10</f>
        <v>322873</v>
      </c>
      <c r="K158" s="511"/>
      <c r="L158" s="21">
        <f t="shared" si="19"/>
        <v>9686.19</v>
      </c>
      <c r="M158" s="21">
        <f t="shared" si="20"/>
        <v>5488.841</v>
      </c>
      <c r="N158" s="21">
        <f t="shared" si="21"/>
        <v>5165.968</v>
      </c>
      <c r="O158" s="511">
        <f t="shared" si="23"/>
        <v>968.619</v>
      </c>
      <c r="P158" s="505">
        <f t="shared" si="22"/>
        <v>2548.4377</v>
      </c>
      <c r="Q158" s="505"/>
    </row>
    <row r="159" spans="1:17" ht="22.5" customHeight="1">
      <c r="A159" s="39"/>
      <c r="B159" s="38">
        <v>22</v>
      </c>
      <c r="C159" s="54">
        <v>20000</v>
      </c>
      <c r="D159" s="632" t="s">
        <v>246</v>
      </c>
      <c r="E159" s="89">
        <v>2525</v>
      </c>
      <c r="F159" s="88" t="s">
        <v>366</v>
      </c>
      <c r="G159" s="82">
        <v>1725</v>
      </c>
      <c r="H159" s="617">
        <f t="shared" si="24"/>
        <v>7205.999275000002</v>
      </c>
      <c r="I159" s="511">
        <f t="shared" si="18"/>
        <v>20123.850000000002</v>
      </c>
      <c r="J159" s="511">
        <f>Ctrl!$J$10</f>
        <v>322873</v>
      </c>
      <c r="K159" s="511"/>
      <c r="L159" s="21">
        <f t="shared" si="19"/>
        <v>9686.19</v>
      </c>
      <c r="M159" s="21">
        <f t="shared" si="20"/>
        <v>5488.841</v>
      </c>
      <c r="N159" s="21">
        <f t="shared" si="21"/>
        <v>5165.968</v>
      </c>
      <c r="O159" s="511">
        <f t="shared" si="23"/>
        <v>968.619</v>
      </c>
      <c r="P159" s="505">
        <f t="shared" si="22"/>
        <v>2585.9147250000005</v>
      </c>
      <c r="Q159" s="505"/>
    </row>
    <row r="160" spans="1:17" ht="22.5" customHeight="1">
      <c r="A160" s="70"/>
      <c r="B160" s="70">
        <v>23</v>
      </c>
      <c r="C160" s="71">
        <v>25000</v>
      </c>
      <c r="D160" s="620" t="s">
        <v>246</v>
      </c>
      <c r="E160" s="574">
        <v>2525</v>
      </c>
      <c r="F160" s="574" t="s">
        <v>37</v>
      </c>
      <c r="G160" s="80">
        <v>1675</v>
      </c>
      <c r="H160" s="80">
        <f t="shared" si="24"/>
        <v>6697.653324999999</v>
      </c>
      <c r="I160" s="511">
        <f t="shared" si="18"/>
        <v>19540.55</v>
      </c>
      <c r="J160" s="511">
        <f>Ctrl!$J$10</f>
        <v>322873</v>
      </c>
      <c r="K160" s="511"/>
      <c r="L160" s="21">
        <f t="shared" si="19"/>
        <v>9686.19</v>
      </c>
      <c r="M160" s="21">
        <f t="shared" si="20"/>
        <v>5488.841</v>
      </c>
      <c r="N160" s="21">
        <f t="shared" si="21"/>
        <v>5165.968</v>
      </c>
      <c r="O160" s="511">
        <f t="shared" si="23"/>
        <v>968.619</v>
      </c>
      <c r="P160" s="505">
        <f t="shared" si="22"/>
        <v>2510.960675</v>
      </c>
      <c r="Q160" s="505"/>
    </row>
    <row r="161" spans="1:17" ht="22.5" customHeight="1">
      <c r="A161" s="36"/>
      <c r="B161" s="36">
        <v>24</v>
      </c>
      <c r="C161" s="55">
        <v>25000</v>
      </c>
      <c r="D161" s="624" t="s">
        <v>246</v>
      </c>
      <c r="E161" s="57">
        <v>2525</v>
      </c>
      <c r="F161" s="57" t="s">
        <v>145</v>
      </c>
      <c r="G161" s="77">
        <v>1625</v>
      </c>
      <c r="H161" s="77">
        <f t="shared" si="24"/>
        <v>6189.307375</v>
      </c>
      <c r="I161" s="511">
        <f t="shared" si="18"/>
        <v>18957.25</v>
      </c>
      <c r="J161" s="511">
        <f>Ctrl!$J$10</f>
        <v>322873</v>
      </c>
      <c r="K161" s="511"/>
      <c r="L161" s="21">
        <f t="shared" si="19"/>
        <v>9686.19</v>
      </c>
      <c r="M161" s="21">
        <f t="shared" si="20"/>
        <v>5488.841</v>
      </c>
      <c r="N161" s="21">
        <f t="shared" si="21"/>
        <v>5165.968</v>
      </c>
      <c r="O161" s="511">
        <f t="shared" si="23"/>
        <v>968.619</v>
      </c>
      <c r="P161" s="505">
        <f t="shared" si="22"/>
        <v>2436.006625</v>
      </c>
      <c r="Q161" s="505"/>
    </row>
    <row r="162" spans="1:17" ht="22.5" customHeight="1">
      <c r="A162" s="445"/>
      <c r="B162" s="445">
        <v>25</v>
      </c>
      <c r="C162" s="446">
        <v>25000</v>
      </c>
      <c r="D162" s="630" t="s">
        <v>246</v>
      </c>
      <c r="E162" s="447">
        <v>2525</v>
      </c>
      <c r="F162" s="450" t="s">
        <v>276</v>
      </c>
      <c r="G162" s="449">
        <v>1650</v>
      </c>
      <c r="H162" s="616">
        <f t="shared" si="24"/>
        <v>6443.480350000002</v>
      </c>
      <c r="I162" s="511">
        <f t="shared" si="18"/>
        <v>19248.9</v>
      </c>
      <c r="J162" s="511">
        <f>Ctrl!$J$10</f>
        <v>322873</v>
      </c>
      <c r="K162" s="511"/>
      <c r="L162" s="21">
        <f t="shared" si="19"/>
        <v>9686.19</v>
      </c>
      <c r="M162" s="21">
        <f t="shared" si="20"/>
        <v>5488.841</v>
      </c>
      <c r="N162" s="21">
        <f t="shared" si="21"/>
        <v>5165.968</v>
      </c>
      <c r="O162" s="511">
        <f t="shared" si="23"/>
        <v>968.619</v>
      </c>
      <c r="P162" s="505">
        <f t="shared" si="22"/>
        <v>2473.48365</v>
      </c>
      <c r="Q162" s="505"/>
    </row>
    <row r="163" spans="1:17" ht="22.5" customHeight="1">
      <c r="A163" s="39"/>
      <c r="B163" s="39">
        <v>26</v>
      </c>
      <c r="C163" s="51">
        <v>25000</v>
      </c>
      <c r="D163" s="633" t="s">
        <v>246</v>
      </c>
      <c r="E163" s="58">
        <v>2525</v>
      </c>
      <c r="F163" s="58" t="s">
        <v>147</v>
      </c>
      <c r="G163" s="99">
        <v>1700</v>
      </c>
      <c r="H163" s="617">
        <f t="shared" si="24"/>
        <v>6951.826300000001</v>
      </c>
      <c r="I163" s="511">
        <f t="shared" si="18"/>
        <v>19832.2</v>
      </c>
      <c r="J163" s="511">
        <f>Ctrl!$J$10</f>
        <v>322873</v>
      </c>
      <c r="K163" s="511"/>
      <c r="L163" s="21">
        <f t="shared" si="19"/>
        <v>9686.19</v>
      </c>
      <c r="M163" s="21">
        <f t="shared" si="20"/>
        <v>5488.841</v>
      </c>
      <c r="N163" s="21">
        <f t="shared" si="21"/>
        <v>5165.968</v>
      </c>
      <c r="O163" s="511">
        <f t="shared" si="23"/>
        <v>968.619</v>
      </c>
      <c r="P163" s="505">
        <f t="shared" si="22"/>
        <v>2548.4377</v>
      </c>
      <c r="Q163" s="505"/>
    </row>
    <row r="164" spans="1:17" ht="22.5" customHeight="1">
      <c r="A164" s="22"/>
      <c r="B164" s="25">
        <v>27</v>
      </c>
      <c r="C164" s="37">
        <v>25000</v>
      </c>
      <c r="D164" s="627" t="s">
        <v>246</v>
      </c>
      <c r="E164" s="59">
        <v>2525</v>
      </c>
      <c r="F164" s="59" t="s">
        <v>146</v>
      </c>
      <c r="G164" s="81">
        <v>1725</v>
      </c>
      <c r="H164" s="81">
        <f t="shared" si="24"/>
        <v>7205.999275000002</v>
      </c>
      <c r="I164" s="511">
        <f t="shared" si="18"/>
        <v>20123.850000000002</v>
      </c>
      <c r="J164" s="511">
        <f>Ctrl!$J$10</f>
        <v>322873</v>
      </c>
      <c r="K164" s="511"/>
      <c r="L164" s="21">
        <f t="shared" si="19"/>
        <v>9686.19</v>
      </c>
      <c r="M164" s="21">
        <f t="shared" si="20"/>
        <v>5488.841</v>
      </c>
      <c r="N164" s="21">
        <f t="shared" si="21"/>
        <v>5165.968</v>
      </c>
      <c r="O164" s="511">
        <f t="shared" si="23"/>
        <v>968.619</v>
      </c>
      <c r="P164" s="505">
        <f t="shared" si="22"/>
        <v>2585.9147250000005</v>
      </c>
      <c r="Q164" s="505"/>
    </row>
    <row r="165" spans="1:17" ht="22.5" customHeight="1">
      <c r="A165" s="39"/>
      <c r="B165" s="38">
        <v>28</v>
      </c>
      <c r="C165" s="54">
        <v>25000</v>
      </c>
      <c r="D165" s="632" t="s">
        <v>368</v>
      </c>
      <c r="E165" s="89">
        <v>2525</v>
      </c>
      <c r="F165" s="88" t="s">
        <v>366</v>
      </c>
      <c r="G165" s="82">
        <v>1750</v>
      </c>
      <c r="H165" s="82">
        <f t="shared" si="24"/>
        <v>7460.17225</v>
      </c>
      <c r="I165" s="511">
        <f t="shared" si="18"/>
        <v>20415.5</v>
      </c>
      <c r="J165" s="511">
        <f>Ctrl!$J$10</f>
        <v>322873</v>
      </c>
      <c r="K165" s="511"/>
      <c r="L165" s="21">
        <f t="shared" si="19"/>
        <v>9686.19</v>
      </c>
      <c r="M165" s="21">
        <f t="shared" si="20"/>
        <v>5488.841</v>
      </c>
      <c r="N165" s="21">
        <f t="shared" si="21"/>
        <v>5165.968</v>
      </c>
      <c r="O165" s="511">
        <f t="shared" si="23"/>
        <v>968.619</v>
      </c>
      <c r="P165" s="505">
        <f t="shared" si="22"/>
        <v>2623.3917500000002</v>
      </c>
      <c r="Q165" s="505"/>
    </row>
    <row r="166" spans="1:17" ht="22.5" customHeight="1">
      <c r="A166" s="70"/>
      <c r="B166" s="70">
        <v>29</v>
      </c>
      <c r="C166" s="71">
        <v>30000</v>
      </c>
      <c r="D166" s="620" t="s">
        <v>246</v>
      </c>
      <c r="E166" s="574">
        <v>2525</v>
      </c>
      <c r="F166" s="574" t="s">
        <v>37</v>
      </c>
      <c r="G166" s="80">
        <v>1700</v>
      </c>
      <c r="H166" s="80">
        <f t="shared" si="24"/>
        <v>6951.826300000001</v>
      </c>
      <c r="I166" s="511">
        <f t="shared" si="18"/>
        <v>19832.2</v>
      </c>
      <c r="J166" s="511">
        <f>Ctrl!$J$10</f>
        <v>322873</v>
      </c>
      <c r="K166" s="511"/>
      <c r="L166" s="21">
        <f t="shared" si="19"/>
        <v>9686.19</v>
      </c>
      <c r="M166" s="21">
        <f t="shared" si="20"/>
        <v>5488.841</v>
      </c>
      <c r="N166" s="21">
        <f t="shared" si="21"/>
        <v>5165.968</v>
      </c>
      <c r="O166" s="511">
        <f t="shared" si="23"/>
        <v>968.619</v>
      </c>
      <c r="P166" s="505">
        <f t="shared" si="22"/>
        <v>2548.4377</v>
      </c>
      <c r="Q166" s="505"/>
    </row>
    <row r="167" spans="1:17" ht="22.5" customHeight="1">
      <c r="A167" s="36"/>
      <c r="B167" s="36">
        <v>30</v>
      </c>
      <c r="C167" s="55">
        <v>30000</v>
      </c>
      <c r="D167" s="624" t="s">
        <v>246</v>
      </c>
      <c r="E167" s="57">
        <v>2525</v>
      </c>
      <c r="F167" s="57" t="s">
        <v>145</v>
      </c>
      <c r="G167" s="77">
        <v>1650</v>
      </c>
      <c r="H167" s="77">
        <f t="shared" si="24"/>
        <v>6443.480350000002</v>
      </c>
      <c r="I167" s="511">
        <f t="shared" si="18"/>
        <v>19248.9</v>
      </c>
      <c r="J167" s="511">
        <f>Ctrl!$J$10</f>
        <v>322873</v>
      </c>
      <c r="K167" s="511"/>
      <c r="L167" s="21">
        <f t="shared" si="19"/>
        <v>9686.19</v>
      </c>
      <c r="M167" s="21">
        <f t="shared" si="20"/>
        <v>5488.841</v>
      </c>
      <c r="N167" s="21">
        <f t="shared" si="21"/>
        <v>5165.968</v>
      </c>
      <c r="O167" s="511">
        <f t="shared" si="23"/>
        <v>968.619</v>
      </c>
      <c r="P167" s="505">
        <f t="shared" si="22"/>
        <v>2473.48365</v>
      </c>
      <c r="Q167" s="505"/>
    </row>
    <row r="168" spans="1:17" ht="22.5" customHeight="1">
      <c r="A168" s="445"/>
      <c r="B168" s="445">
        <v>31</v>
      </c>
      <c r="C168" s="446">
        <v>30000</v>
      </c>
      <c r="D168" s="630" t="s">
        <v>246</v>
      </c>
      <c r="E168" s="447">
        <v>2525</v>
      </c>
      <c r="F168" s="577" t="s">
        <v>276</v>
      </c>
      <c r="G168" s="449">
        <v>1675</v>
      </c>
      <c r="H168" s="616">
        <f t="shared" si="24"/>
        <v>6697.653324999999</v>
      </c>
      <c r="I168" s="511">
        <f t="shared" si="18"/>
        <v>19540.55</v>
      </c>
      <c r="J168" s="511">
        <f>Ctrl!$J$10</f>
        <v>322873</v>
      </c>
      <c r="K168" s="511"/>
      <c r="L168" s="21">
        <f t="shared" si="19"/>
        <v>9686.19</v>
      </c>
      <c r="M168" s="21">
        <f t="shared" si="20"/>
        <v>5488.841</v>
      </c>
      <c r="N168" s="21">
        <f t="shared" si="21"/>
        <v>5165.968</v>
      </c>
      <c r="O168" s="511">
        <f t="shared" si="23"/>
        <v>968.619</v>
      </c>
      <c r="P168" s="505">
        <f t="shared" si="22"/>
        <v>2510.960675</v>
      </c>
      <c r="Q168" s="505"/>
    </row>
    <row r="169" spans="1:17" ht="22.5" customHeight="1">
      <c r="A169" s="39"/>
      <c r="B169" s="39">
        <v>32</v>
      </c>
      <c r="C169" s="51">
        <v>30000</v>
      </c>
      <c r="D169" s="633" t="s">
        <v>246</v>
      </c>
      <c r="E169" s="58">
        <v>2525</v>
      </c>
      <c r="F169" s="58" t="s">
        <v>147</v>
      </c>
      <c r="G169" s="99">
        <v>1725</v>
      </c>
      <c r="H169" s="617">
        <f t="shared" si="24"/>
        <v>7205.999275000002</v>
      </c>
      <c r="I169" s="511">
        <f t="shared" si="18"/>
        <v>20123.850000000002</v>
      </c>
      <c r="J169" s="511">
        <f>Ctrl!$J$10</f>
        <v>322873</v>
      </c>
      <c r="K169" s="511"/>
      <c r="L169" s="21">
        <f t="shared" si="19"/>
        <v>9686.19</v>
      </c>
      <c r="M169" s="21">
        <f t="shared" si="20"/>
        <v>5488.841</v>
      </c>
      <c r="N169" s="21">
        <f t="shared" si="21"/>
        <v>5165.968</v>
      </c>
      <c r="O169" s="511">
        <f t="shared" si="23"/>
        <v>968.619</v>
      </c>
      <c r="P169" s="505">
        <f t="shared" si="22"/>
        <v>2585.9147250000005</v>
      </c>
      <c r="Q169" s="505"/>
    </row>
    <row r="170" spans="1:17" ht="22.5" customHeight="1">
      <c r="A170" s="22"/>
      <c r="B170" s="49">
        <v>33</v>
      </c>
      <c r="C170" s="37">
        <v>30000</v>
      </c>
      <c r="D170" s="627" t="s">
        <v>246</v>
      </c>
      <c r="E170" s="59">
        <v>2525</v>
      </c>
      <c r="F170" s="576" t="s">
        <v>146</v>
      </c>
      <c r="G170" s="81">
        <v>1750</v>
      </c>
      <c r="H170" s="81">
        <f t="shared" si="24"/>
        <v>7460.17225</v>
      </c>
      <c r="I170" s="511">
        <f t="shared" si="18"/>
        <v>20415.5</v>
      </c>
      <c r="J170" s="511">
        <f>Ctrl!$J$10</f>
        <v>322873</v>
      </c>
      <c r="K170" s="511"/>
      <c r="L170" s="21">
        <f t="shared" si="19"/>
        <v>9686.19</v>
      </c>
      <c r="M170" s="21">
        <f t="shared" si="20"/>
        <v>5488.841</v>
      </c>
      <c r="N170" s="21">
        <f t="shared" si="21"/>
        <v>5165.968</v>
      </c>
      <c r="O170" s="511">
        <f t="shared" si="23"/>
        <v>968.619</v>
      </c>
      <c r="P170" s="505">
        <f t="shared" si="22"/>
        <v>2623.3917500000002</v>
      </c>
      <c r="Q170" s="505"/>
    </row>
    <row r="171" spans="1:17" ht="22.5" customHeight="1">
      <c r="A171" s="39"/>
      <c r="B171" s="38">
        <v>34</v>
      </c>
      <c r="C171" s="54">
        <v>30000</v>
      </c>
      <c r="D171" s="633" t="s">
        <v>246</v>
      </c>
      <c r="E171" s="89">
        <v>2525</v>
      </c>
      <c r="F171" s="88" t="s">
        <v>366</v>
      </c>
      <c r="G171" s="82">
        <v>1775</v>
      </c>
      <c r="H171" s="617">
        <f t="shared" si="24"/>
        <v>7714.345224999997</v>
      </c>
      <c r="I171" s="511">
        <f t="shared" si="18"/>
        <v>20707.15</v>
      </c>
      <c r="J171" s="511">
        <f>Ctrl!$J$10</f>
        <v>322873</v>
      </c>
      <c r="K171" s="511"/>
      <c r="L171" s="21">
        <f t="shared" si="19"/>
        <v>9686.19</v>
      </c>
      <c r="M171" s="21">
        <f t="shared" si="20"/>
        <v>5488.841</v>
      </c>
      <c r="N171" s="21">
        <f t="shared" si="21"/>
        <v>5165.968</v>
      </c>
      <c r="O171" s="511">
        <f t="shared" si="23"/>
        <v>968.619</v>
      </c>
      <c r="P171" s="505">
        <f t="shared" si="22"/>
        <v>2660.8687750000004</v>
      </c>
      <c r="Q171" s="505"/>
    </row>
    <row r="172" spans="1:17" ht="22.5" customHeight="1">
      <c r="A172" s="70"/>
      <c r="B172" s="70">
        <v>35</v>
      </c>
      <c r="C172" s="71">
        <v>31686</v>
      </c>
      <c r="D172" s="620" t="s">
        <v>246</v>
      </c>
      <c r="E172" s="574">
        <v>2525</v>
      </c>
      <c r="F172" s="574" t="s">
        <v>37</v>
      </c>
      <c r="G172" s="80">
        <v>1700</v>
      </c>
      <c r="H172" s="80">
        <f t="shared" si="24"/>
        <v>6951.826300000001</v>
      </c>
      <c r="I172" s="511">
        <f t="shared" si="18"/>
        <v>19832.2</v>
      </c>
      <c r="J172" s="511">
        <f>Ctrl!$J$10</f>
        <v>322873</v>
      </c>
      <c r="K172" s="511"/>
      <c r="L172" s="21">
        <f t="shared" si="19"/>
        <v>9686.19</v>
      </c>
      <c r="M172" s="21">
        <f t="shared" si="20"/>
        <v>5488.841</v>
      </c>
      <c r="N172" s="21">
        <f t="shared" si="21"/>
        <v>5165.968</v>
      </c>
      <c r="O172" s="511">
        <f t="shared" si="23"/>
        <v>968.619</v>
      </c>
      <c r="P172" s="505">
        <f t="shared" si="22"/>
        <v>2548.4377</v>
      </c>
      <c r="Q172" s="505"/>
    </row>
    <row r="173" spans="1:17" ht="22.5" customHeight="1">
      <c r="A173" s="36"/>
      <c r="B173" s="36">
        <v>36</v>
      </c>
      <c r="C173" s="52">
        <v>31686</v>
      </c>
      <c r="D173" s="624" t="s">
        <v>246</v>
      </c>
      <c r="E173" s="57">
        <v>2525</v>
      </c>
      <c r="F173" s="57" t="s">
        <v>145</v>
      </c>
      <c r="G173" s="615">
        <v>1650</v>
      </c>
      <c r="H173" s="77">
        <f t="shared" si="24"/>
        <v>6443.480350000002</v>
      </c>
      <c r="I173" s="511">
        <f t="shared" si="18"/>
        <v>19248.9</v>
      </c>
      <c r="J173" s="511">
        <f>Ctrl!$J$10</f>
        <v>322873</v>
      </c>
      <c r="K173" s="511"/>
      <c r="L173" s="21">
        <f t="shared" si="19"/>
        <v>9686.19</v>
      </c>
      <c r="M173" s="21">
        <f t="shared" si="20"/>
        <v>5488.841</v>
      </c>
      <c r="N173" s="21">
        <f t="shared" si="21"/>
        <v>5165.968</v>
      </c>
      <c r="O173" s="511">
        <f t="shared" si="23"/>
        <v>968.619</v>
      </c>
      <c r="P173" s="505">
        <f t="shared" si="22"/>
        <v>2473.48365</v>
      </c>
      <c r="Q173" s="505"/>
    </row>
    <row r="174" spans="1:17" ht="22.5" customHeight="1">
      <c r="A174" s="445"/>
      <c r="B174" s="445">
        <v>37</v>
      </c>
      <c r="C174" s="446">
        <v>31686</v>
      </c>
      <c r="D174" s="630" t="s">
        <v>246</v>
      </c>
      <c r="E174" s="447">
        <v>2525</v>
      </c>
      <c r="F174" s="450" t="s">
        <v>276</v>
      </c>
      <c r="G174" s="616">
        <v>1675</v>
      </c>
      <c r="H174" s="616">
        <f t="shared" si="24"/>
        <v>6697.653324999999</v>
      </c>
      <c r="I174" s="511">
        <f t="shared" si="18"/>
        <v>19540.55</v>
      </c>
      <c r="J174" s="511">
        <f>Ctrl!$J$10</f>
        <v>322873</v>
      </c>
      <c r="K174" s="511"/>
      <c r="L174" s="21">
        <f t="shared" si="19"/>
        <v>9686.19</v>
      </c>
      <c r="M174" s="21">
        <f t="shared" si="20"/>
        <v>5488.841</v>
      </c>
      <c r="N174" s="21">
        <f t="shared" si="21"/>
        <v>5165.968</v>
      </c>
      <c r="O174" s="511">
        <f t="shared" si="23"/>
        <v>968.619</v>
      </c>
      <c r="P174" s="505">
        <f t="shared" si="22"/>
        <v>2510.960675</v>
      </c>
      <c r="Q174" s="505"/>
    </row>
    <row r="175" spans="1:17" ht="22.5" customHeight="1">
      <c r="A175" s="39"/>
      <c r="B175" s="39">
        <v>38</v>
      </c>
      <c r="C175" s="51">
        <v>31686</v>
      </c>
      <c r="D175" s="633" t="s">
        <v>246</v>
      </c>
      <c r="E175" s="58">
        <v>2525</v>
      </c>
      <c r="F175" s="58" t="s">
        <v>147</v>
      </c>
      <c r="G175" s="617">
        <v>1725</v>
      </c>
      <c r="H175" s="617">
        <f t="shared" si="24"/>
        <v>7205.999275000002</v>
      </c>
      <c r="I175" s="511">
        <f t="shared" si="18"/>
        <v>20123.850000000002</v>
      </c>
      <c r="J175" s="511">
        <f>Ctrl!$J$10</f>
        <v>322873</v>
      </c>
      <c r="K175" s="511"/>
      <c r="L175" s="21">
        <f t="shared" si="19"/>
        <v>9686.19</v>
      </c>
      <c r="M175" s="21">
        <f t="shared" si="20"/>
        <v>5488.841</v>
      </c>
      <c r="N175" s="21">
        <f t="shared" si="21"/>
        <v>5165.968</v>
      </c>
      <c r="O175" s="511">
        <f t="shared" si="23"/>
        <v>968.619</v>
      </c>
      <c r="P175" s="505">
        <f t="shared" si="22"/>
        <v>2585.9147250000005</v>
      </c>
      <c r="Q175" s="505"/>
    </row>
    <row r="176" spans="1:17" ht="22.5" customHeight="1">
      <c r="A176" s="25"/>
      <c r="B176" s="49">
        <v>39</v>
      </c>
      <c r="C176" s="53">
        <v>31686</v>
      </c>
      <c r="D176" s="627" t="s">
        <v>246</v>
      </c>
      <c r="E176" s="59">
        <v>2525</v>
      </c>
      <c r="F176" s="576" t="s">
        <v>146</v>
      </c>
      <c r="G176" s="618">
        <v>1750</v>
      </c>
      <c r="H176" s="81">
        <f t="shared" si="24"/>
        <v>7460.17225</v>
      </c>
      <c r="I176" s="511">
        <f t="shared" si="18"/>
        <v>20415.5</v>
      </c>
      <c r="J176" s="511">
        <f>Ctrl!$J$10</f>
        <v>322873</v>
      </c>
      <c r="K176" s="511"/>
      <c r="L176" s="21">
        <f t="shared" si="19"/>
        <v>9686.19</v>
      </c>
      <c r="M176" s="21">
        <f t="shared" si="20"/>
        <v>5488.841</v>
      </c>
      <c r="N176" s="21">
        <f t="shared" si="21"/>
        <v>5165.968</v>
      </c>
      <c r="O176" s="511">
        <f t="shared" si="23"/>
        <v>968.619</v>
      </c>
      <c r="P176" s="505">
        <f t="shared" si="22"/>
        <v>2623.3917500000002</v>
      </c>
      <c r="Q176" s="505"/>
    </row>
    <row r="177" spans="1:17" ht="22.5" customHeight="1">
      <c r="A177" s="70"/>
      <c r="B177" s="70">
        <v>40</v>
      </c>
      <c r="C177" s="71">
        <v>53328</v>
      </c>
      <c r="D177" s="620" t="s">
        <v>246</v>
      </c>
      <c r="E177" s="574">
        <v>2525</v>
      </c>
      <c r="F177" s="574" t="s">
        <v>37</v>
      </c>
      <c r="G177" s="80">
        <v>1700</v>
      </c>
      <c r="H177" s="80">
        <f t="shared" si="24"/>
        <v>6951.826300000001</v>
      </c>
      <c r="I177" s="511">
        <f t="shared" si="18"/>
        <v>19832.2</v>
      </c>
      <c r="J177" s="511">
        <f>Ctrl!$J$10</f>
        <v>322873</v>
      </c>
      <c r="K177" s="511"/>
      <c r="L177" s="21">
        <f t="shared" si="19"/>
        <v>9686.19</v>
      </c>
      <c r="M177" s="21">
        <f t="shared" si="20"/>
        <v>5488.841</v>
      </c>
      <c r="N177" s="21">
        <f t="shared" si="21"/>
        <v>5165.968</v>
      </c>
      <c r="O177" s="511">
        <f t="shared" si="23"/>
        <v>968.619</v>
      </c>
      <c r="P177" s="505">
        <f t="shared" si="22"/>
        <v>2548.4377</v>
      </c>
      <c r="Q177" s="505"/>
    </row>
    <row r="178" spans="1:17" ht="22.5" customHeight="1">
      <c r="A178" s="36"/>
      <c r="B178" s="48">
        <v>41</v>
      </c>
      <c r="C178" s="52">
        <v>53328</v>
      </c>
      <c r="D178" s="645" t="s">
        <v>246</v>
      </c>
      <c r="E178" s="57">
        <v>2525</v>
      </c>
      <c r="F178" s="57" t="s">
        <v>418</v>
      </c>
      <c r="G178" s="77">
        <v>1650</v>
      </c>
      <c r="H178" s="77">
        <f t="shared" si="24"/>
        <v>6443.480350000002</v>
      </c>
      <c r="I178" s="511">
        <f t="shared" si="18"/>
        <v>19248.9</v>
      </c>
      <c r="J178" s="511">
        <f>Ctrl!$J$10</f>
        <v>322873</v>
      </c>
      <c r="K178" s="511"/>
      <c r="L178" s="21">
        <f t="shared" si="19"/>
        <v>9686.19</v>
      </c>
      <c r="M178" s="21">
        <f t="shared" si="20"/>
        <v>5488.841</v>
      </c>
      <c r="N178" s="21">
        <f t="shared" si="21"/>
        <v>5165.968</v>
      </c>
      <c r="O178" s="511">
        <f aca="true" t="shared" si="25" ref="O178:O202">$O$2*J178</f>
        <v>968.619</v>
      </c>
      <c r="P178" s="505">
        <f t="shared" si="22"/>
        <v>2473.48365</v>
      </c>
      <c r="Q178" s="505"/>
    </row>
    <row r="179" spans="1:17" ht="22.5" customHeight="1">
      <c r="A179" s="445"/>
      <c r="B179" s="445">
        <v>42</v>
      </c>
      <c r="C179" s="446">
        <v>53328</v>
      </c>
      <c r="D179" s="630" t="s">
        <v>246</v>
      </c>
      <c r="E179" s="447">
        <v>2525</v>
      </c>
      <c r="F179" s="448" t="s">
        <v>236</v>
      </c>
      <c r="G179" s="449">
        <v>1675</v>
      </c>
      <c r="H179" s="616">
        <f t="shared" si="24"/>
        <v>6697.653324999999</v>
      </c>
      <c r="I179" s="511">
        <f t="shared" si="18"/>
        <v>19540.55</v>
      </c>
      <c r="J179" s="511">
        <f>Ctrl!$J$10</f>
        <v>322873</v>
      </c>
      <c r="K179" s="511"/>
      <c r="L179" s="21">
        <f t="shared" si="19"/>
        <v>9686.19</v>
      </c>
      <c r="M179" s="21">
        <f t="shared" si="20"/>
        <v>5488.841</v>
      </c>
      <c r="N179" s="21">
        <f t="shared" si="21"/>
        <v>5165.968</v>
      </c>
      <c r="O179" s="511">
        <f t="shared" si="25"/>
        <v>968.619</v>
      </c>
      <c r="P179" s="505">
        <f t="shared" si="22"/>
        <v>2510.960675</v>
      </c>
      <c r="Q179" s="505"/>
    </row>
    <row r="180" spans="1:17" ht="22.5" customHeight="1">
      <c r="A180" s="39"/>
      <c r="B180" s="39">
        <v>43</v>
      </c>
      <c r="C180" s="51">
        <v>53328</v>
      </c>
      <c r="D180" s="633" t="s">
        <v>246</v>
      </c>
      <c r="E180" s="58">
        <v>2525</v>
      </c>
      <c r="F180" s="58" t="s">
        <v>147</v>
      </c>
      <c r="G180" s="99">
        <v>1725</v>
      </c>
      <c r="H180" s="617">
        <f t="shared" si="24"/>
        <v>7205.999275000002</v>
      </c>
      <c r="I180" s="511">
        <f t="shared" si="18"/>
        <v>20123.850000000002</v>
      </c>
      <c r="J180" s="511">
        <f>Ctrl!$J$10</f>
        <v>322873</v>
      </c>
      <c r="K180" s="511"/>
      <c r="L180" s="21">
        <f t="shared" si="19"/>
        <v>9686.19</v>
      </c>
      <c r="M180" s="21">
        <f t="shared" si="20"/>
        <v>5488.841</v>
      </c>
      <c r="N180" s="21">
        <f t="shared" si="21"/>
        <v>5165.968</v>
      </c>
      <c r="O180" s="511">
        <f t="shared" si="25"/>
        <v>968.619</v>
      </c>
      <c r="P180" s="505">
        <f t="shared" si="22"/>
        <v>2585.9147250000005</v>
      </c>
      <c r="Q180" s="505"/>
    </row>
    <row r="181" spans="1:17" ht="22.5" customHeight="1">
      <c r="A181" s="25"/>
      <c r="B181" s="49">
        <v>44</v>
      </c>
      <c r="C181" s="53">
        <v>53328</v>
      </c>
      <c r="D181" s="627" t="s">
        <v>246</v>
      </c>
      <c r="E181" s="59">
        <v>2525</v>
      </c>
      <c r="F181" s="576" t="s">
        <v>146</v>
      </c>
      <c r="G181" s="81">
        <v>1750</v>
      </c>
      <c r="H181" s="81">
        <f t="shared" si="24"/>
        <v>7460.17225</v>
      </c>
      <c r="I181" s="511">
        <f t="shared" si="18"/>
        <v>20415.5</v>
      </c>
      <c r="J181" s="511">
        <f>Ctrl!$J$10</f>
        <v>322873</v>
      </c>
      <c r="K181" s="511"/>
      <c r="L181" s="21">
        <f t="shared" si="19"/>
        <v>9686.19</v>
      </c>
      <c r="M181" s="21">
        <f t="shared" si="20"/>
        <v>5488.841</v>
      </c>
      <c r="N181" s="21">
        <f t="shared" si="21"/>
        <v>5165.968</v>
      </c>
      <c r="O181" s="511">
        <f t="shared" si="25"/>
        <v>968.619</v>
      </c>
      <c r="P181" s="505">
        <f t="shared" si="22"/>
        <v>2623.3917500000002</v>
      </c>
      <c r="Q181" s="505"/>
    </row>
    <row r="182" spans="1:17" ht="22.5" customHeight="1">
      <c r="A182" s="70"/>
      <c r="B182" s="70">
        <v>1</v>
      </c>
      <c r="C182" s="71">
        <v>7116</v>
      </c>
      <c r="D182" s="621" t="s">
        <v>347</v>
      </c>
      <c r="E182" s="563">
        <v>3425</v>
      </c>
      <c r="F182" s="563" t="s">
        <v>37</v>
      </c>
      <c r="G182" s="524"/>
      <c r="H182" s="651"/>
      <c r="I182" s="511">
        <f t="shared" si="18"/>
        <v>0</v>
      </c>
      <c r="J182" s="511"/>
      <c r="K182" s="511"/>
      <c r="L182" s="21">
        <f t="shared" si="19"/>
        <v>0</v>
      </c>
      <c r="M182" s="21">
        <f t="shared" si="20"/>
        <v>0</v>
      </c>
      <c r="N182" s="21">
        <f t="shared" si="21"/>
        <v>0</v>
      </c>
      <c r="O182" s="511">
        <f t="shared" si="25"/>
        <v>0</v>
      </c>
      <c r="P182" s="505">
        <f t="shared" si="22"/>
        <v>0</v>
      </c>
      <c r="Q182" s="505"/>
    </row>
    <row r="183" spans="1:17" ht="22.5" customHeight="1">
      <c r="A183" s="498"/>
      <c r="B183" s="498">
        <v>2</v>
      </c>
      <c r="C183" s="499">
        <v>7116</v>
      </c>
      <c r="D183" s="623" t="s">
        <v>347</v>
      </c>
      <c r="E183" s="562">
        <v>3425</v>
      </c>
      <c r="F183" s="562" t="s">
        <v>266</v>
      </c>
      <c r="G183" s="502"/>
      <c r="H183" s="651"/>
      <c r="I183" s="511">
        <f t="shared" si="18"/>
        <v>0</v>
      </c>
      <c r="J183" s="511">
        <f>Ctrl!$J$12</f>
        <v>414149</v>
      </c>
      <c r="K183" s="511"/>
      <c r="L183" s="21">
        <f t="shared" si="19"/>
        <v>12424.47</v>
      </c>
      <c r="M183" s="21">
        <f t="shared" si="20"/>
        <v>7040.533</v>
      </c>
      <c r="N183" s="21">
        <f t="shared" si="21"/>
        <v>6626.384</v>
      </c>
      <c r="O183" s="511">
        <f t="shared" si="25"/>
        <v>1242.4470000000001</v>
      </c>
      <c r="P183" s="505">
        <f t="shared" si="22"/>
        <v>0</v>
      </c>
      <c r="Q183" s="505"/>
    </row>
    <row r="184" spans="1:17" ht="22.5" customHeight="1">
      <c r="A184" s="31"/>
      <c r="B184" s="31">
        <v>3</v>
      </c>
      <c r="C184" s="564">
        <v>7116</v>
      </c>
      <c r="D184" s="625" t="s">
        <v>347</v>
      </c>
      <c r="E184" s="523">
        <v>3425</v>
      </c>
      <c r="F184" s="523" t="s">
        <v>418</v>
      </c>
      <c r="G184" s="565"/>
      <c r="H184" s="651"/>
      <c r="I184" s="511">
        <f t="shared" si="18"/>
        <v>0</v>
      </c>
      <c r="J184" s="511">
        <f>Ctrl!$J$12</f>
        <v>414149</v>
      </c>
      <c r="K184" s="511"/>
      <c r="L184" s="21">
        <f t="shared" si="19"/>
        <v>12424.47</v>
      </c>
      <c r="M184" s="21">
        <f t="shared" si="20"/>
        <v>7040.533</v>
      </c>
      <c r="N184" s="21">
        <f t="shared" si="21"/>
        <v>6626.384</v>
      </c>
      <c r="O184" s="511">
        <f t="shared" si="25"/>
        <v>1242.4470000000001</v>
      </c>
      <c r="P184" s="505">
        <f t="shared" si="22"/>
        <v>0</v>
      </c>
      <c r="Q184" s="505"/>
    </row>
    <row r="185" spans="1:17" ht="22.5" customHeight="1">
      <c r="A185" s="39"/>
      <c r="B185" s="39">
        <v>4</v>
      </c>
      <c r="C185" s="51">
        <v>7116</v>
      </c>
      <c r="D185" s="626" t="s">
        <v>347</v>
      </c>
      <c r="E185" s="522">
        <v>3425</v>
      </c>
      <c r="F185" s="522" t="s">
        <v>0</v>
      </c>
      <c r="G185" s="406"/>
      <c r="H185" s="651"/>
      <c r="I185" s="511">
        <f t="shared" si="18"/>
        <v>0</v>
      </c>
      <c r="J185" s="511"/>
      <c r="K185" s="511"/>
      <c r="L185" s="21">
        <f t="shared" si="19"/>
        <v>0</v>
      </c>
      <c r="M185" s="21">
        <f t="shared" si="20"/>
        <v>0</v>
      </c>
      <c r="N185" s="21">
        <f t="shared" si="21"/>
        <v>0</v>
      </c>
      <c r="O185" s="511">
        <f t="shared" si="25"/>
        <v>0</v>
      </c>
      <c r="P185" s="505">
        <f t="shared" si="22"/>
        <v>0</v>
      </c>
      <c r="Q185" s="505"/>
    </row>
    <row r="186" spans="1:17" ht="22.5" customHeight="1">
      <c r="A186" s="22"/>
      <c r="B186" s="22">
        <v>5</v>
      </c>
      <c r="C186" s="53">
        <v>7116</v>
      </c>
      <c r="D186" s="625" t="s">
        <v>347</v>
      </c>
      <c r="E186" s="523">
        <v>3425</v>
      </c>
      <c r="F186" s="523" t="s">
        <v>146</v>
      </c>
      <c r="G186" s="81"/>
      <c r="H186" s="651"/>
      <c r="I186" s="511">
        <f t="shared" si="18"/>
        <v>0</v>
      </c>
      <c r="J186" s="511">
        <f>Ctrl!$J$12</f>
        <v>414149</v>
      </c>
      <c r="K186" s="511"/>
      <c r="L186" s="21">
        <f t="shared" si="19"/>
        <v>12424.47</v>
      </c>
      <c r="M186" s="21">
        <f t="shared" si="20"/>
        <v>7040.533</v>
      </c>
      <c r="N186" s="21">
        <f t="shared" si="21"/>
        <v>6626.384</v>
      </c>
      <c r="O186" s="511">
        <f t="shared" si="25"/>
        <v>1242.4470000000001</v>
      </c>
      <c r="P186" s="505">
        <f t="shared" si="22"/>
        <v>0</v>
      </c>
      <c r="Q186" s="505"/>
    </row>
    <row r="187" spans="1:17" ht="22.5" customHeight="1">
      <c r="A187" s="70"/>
      <c r="B187" s="70">
        <v>6</v>
      </c>
      <c r="C187" s="71">
        <v>10000</v>
      </c>
      <c r="D187" s="620" t="s">
        <v>347</v>
      </c>
      <c r="E187" s="574">
        <v>3425</v>
      </c>
      <c r="F187" s="574" t="s">
        <v>37</v>
      </c>
      <c r="G187" s="80">
        <v>1800</v>
      </c>
      <c r="H187" s="80">
        <f aca="true" t="shared" si="26" ref="H187:H225">I187-L187+M187-N187-O187-P187</f>
        <v>5047.686200000001</v>
      </c>
      <c r="I187" s="511">
        <f t="shared" si="18"/>
        <v>20998.8</v>
      </c>
      <c r="J187" s="511">
        <f>Ctrl!$J$12</f>
        <v>414149</v>
      </c>
      <c r="K187" s="511"/>
      <c r="L187" s="21">
        <f t="shared" si="19"/>
        <v>12424.47</v>
      </c>
      <c r="M187" s="21">
        <f t="shared" si="20"/>
        <v>7040.533</v>
      </c>
      <c r="N187" s="21">
        <f t="shared" si="21"/>
        <v>6626.384</v>
      </c>
      <c r="O187" s="511">
        <f t="shared" si="25"/>
        <v>1242.4470000000001</v>
      </c>
      <c r="P187" s="505">
        <f t="shared" si="22"/>
        <v>2698.3458</v>
      </c>
      <c r="Q187" s="505"/>
    </row>
    <row r="188" spans="1:17" ht="22.5" customHeight="1">
      <c r="A188" s="359"/>
      <c r="B188" s="359">
        <v>7</v>
      </c>
      <c r="C188" s="643">
        <v>10000</v>
      </c>
      <c r="D188" s="629" t="s">
        <v>362</v>
      </c>
      <c r="E188" s="361">
        <v>3425</v>
      </c>
      <c r="F188" s="86" t="s">
        <v>247</v>
      </c>
      <c r="G188" s="91">
        <v>1750</v>
      </c>
      <c r="H188" s="91">
        <f t="shared" si="26"/>
        <v>4539.340250000001</v>
      </c>
      <c r="I188" s="511">
        <f t="shared" si="18"/>
        <v>20415.5</v>
      </c>
      <c r="J188" s="511">
        <f>Ctrl!$J$12</f>
        <v>414149</v>
      </c>
      <c r="K188" s="511"/>
      <c r="L188" s="21">
        <f t="shared" si="19"/>
        <v>12424.47</v>
      </c>
      <c r="M188" s="21">
        <f t="shared" si="20"/>
        <v>7040.533</v>
      </c>
      <c r="N188" s="21">
        <f t="shared" si="21"/>
        <v>6626.384</v>
      </c>
      <c r="O188" s="511">
        <f t="shared" si="25"/>
        <v>1242.4470000000001</v>
      </c>
      <c r="P188" s="505">
        <f t="shared" si="22"/>
        <v>2623.3917500000002</v>
      </c>
      <c r="Q188" s="505"/>
    </row>
    <row r="189" spans="1:17" ht="22.5" customHeight="1">
      <c r="A189" s="36"/>
      <c r="B189" s="36">
        <v>8</v>
      </c>
      <c r="C189" s="52">
        <v>10000</v>
      </c>
      <c r="D189" s="624" t="s">
        <v>347</v>
      </c>
      <c r="E189" s="57">
        <v>3425</v>
      </c>
      <c r="F189" s="57" t="s">
        <v>418</v>
      </c>
      <c r="G189" s="77">
        <v>1750</v>
      </c>
      <c r="H189" s="77">
        <f t="shared" si="26"/>
        <v>4539.340250000001</v>
      </c>
      <c r="I189" s="511">
        <f t="shared" si="18"/>
        <v>20415.5</v>
      </c>
      <c r="J189" s="511">
        <f>Ctrl!$J$12</f>
        <v>414149</v>
      </c>
      <c r="K189" s="511"/>
      <c r="L189" s="21">
        <f t="shared" si="19"/>
        <v>12424.47</v>
      </c>
      <c r="M189" s="21">
        <f t="shared" si="20"/>
        <v>7040.533</v>
      </c>
      <c r="N189" s="21">
        <f t="shared" si="21"/>
        <v>6626.384</v>
      </c>
      <c r="O189" s="511">
        <f t="shared" si="25"/>
        <v>1242.4470000000001</v>
      </c>
      <c r="P189" s="505">
        <f t="shared" si="22"/>
        <v>2623.3917500000002</v>
      </c>
      <c r="Q189" s="505"/>
    </row>
    <row r="190" spans="1:17" ht="22.5" customHeight="1">
      <c r="A190" s="445"/>
      <c r="B190" s="445">
        <v>9</v>
      </c>
      <c r="C190" s="446">
        <v>10000</v>
      </c>
      <c r="D190" s="630" t="s">
        <v>347</v>
      </c>
      <c r="E190" s="447">
        <v>3425</v>
      </c>
      <c r="F190" s="448" t="s">
        <v>236</v>
      </c>
      <c r="G190" s="449">
        <v>1775</v>
      </c>
      <c r="H190" s="616">
        <f t="shared" si="26"/>
        <v>4793.513225000002</v>
      </c>
      <c r="I190" s="511">
        <f t="shared" si="18"/>
        <v>20707.15</v>
      </c>
      <c r="J190" s="511">
        <f>Ctrl!$J$12</f>
        <v>414149</v>
      </c>
      <c r="K190" s="511"/>
      <c r="L190" s="21">
        <f t="shared" si="19"/>
        <v>12424.47</v>
      </c>
      <c r="M190" s="21">
        <f t="shared" si="20"/>
        <v>7040.533</v>
      </c>
      <c r="N190" s="21">
        <f t="shared" si="21"/>
        <v>6626.384</v>
      </c>
      <c r="O190" s="511">
        <f t="shared" si="25"/>
        <v>1242.4470000000001</v>
      </c>
      <c r="P190" s="505">
        <f t="shared" si="22"/>
        <v>2660.8687750000004</v>
      </c>
      <c r="Q190" s="505"/>
    </row>
    <row r="191" spans="1:18" ht="22.5" customHeight="1">
      <c r="A191" s="39"/>
      <c r="B191" s="39">
        <v>10</v>
      </c>
      <c r="C191" s="51">
        <v>10000</v>
      </c>
      <c r="D191" s="633" t="s">
        <v>347</v>
      </c>
      <c r="E191" s="58">
        <v>3425</v>
      </c>
      <c r="F191" s="58" t="s">
        <v>147</v>
      </c>
      <c r="G191" s="99">
        <v>1825</v>
      </c>
      <c r="H191" s="617">
        <f t="shared" si="26"/>
        <v>5301.859175000002</v>
      </c>
      <c r="I191" s="511">
        <f t="shared" si="18"/>
        <v>21290.45</v>
      </c>
      <c r="J191" s="511">
        <f>Ctrl!$J$12</f>
        <v>414149</v>
      </c>
      <c r="K191" s="511"/>
      <c r="L191" s="21">
        <f t="shared" si="19"/>
        <v>12424.47</v>
      </c>
      <c r="M191" s="21">
        <f t="shared" si="20"/>
        <v>7040.533</v>
      </c>
      <c r="N191" s="21">
        <f t="shared" si="21"/>
        <v>6626.384</v>
      </c>
      <c r="O191" s="511">
        <f t="shared" si="25"/>
        <v>1242.4470000000001</v>
      </c>
      <c r="P191" s="505">
        <f t="shared" si="22"/>
        <v>2735.822825</v>
      </c>
      <c r="Q191" s="505"/>
      <c r="R191" s="506"/>
    </row>
    <row r="192" spans="1:17" ht="22.5" customHeight="1">
      <c r="A192" s="22"/>
      <c r="B192" s="22">
        <v>11</v>
      </c>
      <c r="C192" s="53">
        <v>10000</v>
      </c>
      <c r="D192" s="627" t="s">
        <v>347</v>
      </c>
      <c r="E192" s="59">
        <v>3425</v>
      </c>
      <c r="F192" s="59" t="s">
        <v>146</v>
      </c>
      <c r="G192" s="81">
        <v>1850</v>
      </c>
      <c r="H192" s="81">
        <f t="shared" si="26"/>
        <v>5556.032150000004</v>
      </c>
      <c r="I192" s="511">
        <f t="shared" si="18"/>
        <v>21582.100000000002</v>
      </c>
      <c r="J192" s="511">
        <f>Ctrl!$J$12</f>
        <v>414149</v>
      </c>
      <c r="K192" s="511"/>
      <c r="L192" s="21">
        <f t="shared" si="19"/>
        <v>12424.47</v>
      </c>
      <c r="M192" s="21">
        <f t="shared" si="20"/>
        <v>7040.533</v>
      </c>
      <c r="N192" s="21">
        <f t="shared" si="21"/>
        <v>6626.384</v>
      </c>
      <c r="O192" s="511">
        <f t="shared" si="25"/>
        <v>1242.4470000000001</v>
      </c>
      <c r="P192" s="505">
        <f t="shared" si="22"/>
        <v>2773.2998500000003</v>
      </c>
      <c r="Q192" s="505"/>
    </row>
    <row r="193" spans="1:17" ht="22.5" customHeight="1">
      <c r="A193" s="70"/>
      <c r="B193" s="70">
        <v>12</v>
      </c>
      <c r="C193" s="71">
        <v>15000</v>
      </c>
      <c r="D193" s="620" t="s">
        <v>84</v>
      </c>
      <c r="E193" s="574">
        <v>3425</v>
      </c>
      <c r="F193" s="574" t="s">
        <v>37</v>
      </c>
      <c r="G193" s="80">
        <v>1875</v>
      </c>
      <c r="H193" s="80">
        <f t="shared" si="26"/>
        <v>5810.205125000002</v>
      </c>
      <c r="I193" s="511">
        <f t="shared" si="18"/>
        <v>21873.75</v>
      </c>
      <c r="J193" s="511">
        <f>Ctrl!$J$12</f>
        <v>414149</v>
      </c>
      <c r="K193" s="511"/>
      <c r="L193" s="21">
        <f t="shared" si="19"/>
        <v>12424.47</v>
      </c>
      <c r="M193" s="21">
        <f t="shared" si="20"/>
        <v>7040.533</v>
      </c>
      <c r="N193" s="21">
        <f t="shared" si="21"/>
        <v>6626.384</v>
      </c>
      <c r="O193" s="511">
        <f t="shared" si="25"/>
        <v>1242.4470000000001</v>
      </c>
      <c r="P193" s="505">
        <f t="shared" si="22"/>
        <v>2810.776875</v>
      </c>
      <c r="Q193" s="505"/>
    </row>
    <row r="194" spans="1:17" ht="22.5" customHeight="1">
      <c r="A194" s="36"/>
      <c r="B194" s="36">
        <v>13</v>
      </c>
      <c r="C194" s="55">
        <v>15000</v>
      </c>
      <c r="D194" s="624" t="s">
        <v>347</v>
      </c>
      <c r="E194" s="57">
        <v>3425</v>
      </c>
      <c r="F194" s="57" t="s">
        <v>418</v>
      </c>
      <c r="G194" s="77">
        <v>1825</v>
      </c>
      <c r="H194" s="77">
        <f t="shared" si="26"/>
        <v>5301.859175000002</v>
      </c>
      <c r="I194" s="511">
        <f t="shared" si="18"/>
        <v>21290.45</v>
      </c>
      <c r="J194" s="511">
        <f>Ctrl!$J$12</f>
        <v>414149</v>
      </c>
      <c r="K194" s="511"/>
      <c r="L194" s="21">
        <f t="shared" si="19"/>
        <v>12424.47</v>
      </c>
      <c r="M194" s="21">
        <f t="shared" si="20"/>
        <v>7040.533</v>
      </c>
      <c r="N194" s="21">
        <f t="shared" si="21"/>
        <v>6626.384</v>
      </c>
      <c r="O194" s="511">
        <f t="shared" si="25"/>
        <v>1242.4470000000001</v>
      </c>
      <c r="P194" s="505">
        <f t="shared" si="22"/>
        <v>2735.822825</v>
      </c>
      <c r="Q194" s="505"/>
    </row>
    <row r="195" spans="1:17" ht="22.5" customHeight="1">
      <c r="A195" s="445"/>
      <c r="B195" s="445">
        <v>14</v>
      </c>
      <c r="C195" s="446">
        <v>15000</v>
      </c>
      <c r="D195" s="630" t="s">
        <v>347</v>
      </c>
      <c r="E195" s="447">
        <v>3425</v>
      </c>
      <c r="F195" s="448" t="s">
        <v>236</v>
      </c>
      <c r="G195" s="449">
        <v>1850</v>
      </c>
      <c r="H195" s="616">
        <f t="shared" si="26"/>
        <v>5556.032150000004</v>
      </c>
      <c r="I195" s="511">
        <f t="shared" si="18"/>
        <v>21582.100000000002</v>
      </c>
      <c r="J195" s="511">
        <f>Ctrl!$J$12</f>
        <v>414149</v>
      </c>
      <c r="K195" s="511"/>
      <c r="L195" s="21">
        <f t="shared" si="19"/>
        <v>12424.47</v>
      </c>
      <c r="M195" s="21">
        <f t="shared" si="20"/>
        <v>7040.533</v>
      </c>
      <c r="N195" s="21">
        <f t="shared" si="21"/>
        <v>6626.384</v>
      </c>
      <c r="O195" s="511">
        <f t="shared" si="25"/>
        <v>1242.4470000000001</v>
      </c>
      <c r="P195" s="505">
        <f t="shared" si="22"/>
        <v>2773.2998500000003</v>
      </c>
      <c r="Q195" s="505"/>
    </row>
    <row r="196" spans="1:18" ht="22.5" customHeight="1">
      <c r="A196" s="39"/>
      <c r="B196" s="39">
        <v>15</v>
      </c>
      <c r="C196" s="51">
        <v>15000</v>
      </c>
      <c r="D196" s="633" t="s">
        <v>347</v>
      </c>
      <c r="E196" s="58">
        <v>3425</v>
      </c>
      <c r="F196" s="58" t="s">
        <v>147</v>
      </c>
      <c r="G196" s="99">
        <v>1900</v>
      </c>
      <c r="H196" s="617">
        <f t="shared" si="26"/>
        <v>6064.3781000000035</v>
      </c>
      <c r="I196" s="511">
        <f t="shared" si="18"/>
        <v>22165.4</v>
      </c>
      <c r="J196" s="511">
        <f>Ctrl!$J$12</f>
        <v>414149</v>
      </c>
      <c r="K196" s="511"/>
      <c r="L196" s="21">
        <f t="shared" si="19"/>
        <v>12424.47</v>
      </c>
      <c r="M196" s="21">
        <f t="shared" si="20"/>
        <v>7040.533</v>
      </c>
      <c r="N196" s="21">
        <f t="shared" si="21"/>
        <v>6626.384</v>
      </c>
      <c r="O196" s="511">
        <f t="shared" si="25"/>
        <v>1242.4470000000001</v>
      </c>
      <c r="P196" s="505">
        <f t="shared" si="22"/>
        <v>2848.2539</v>
      </c>
      <c r="Q196" s="505"/>
      <c r="R196" s="506"/>
    </row>
    <row r="197" spans="1:17" ht="22.5" customHeight="1">
      <c r="A197" s="25"/>
      <c r="B197" s="25">
        <v>16</v>
      </c>
      <c r="C197" s="37">
        <v>15000</v>
      </c>
      <c r="D197" s="627" t="s">
        <v>347</v>
      </c>
      <c r="E197" s="59">
        <v>3425</v>
      </c>
      <c r="F197" s="59" t="s">
        <v>146</v>
      </c>
      <c r="G197" s="81">
        <v>1925</v>
      </c>
      <c r="H197" s="81">
        <f t="shared" si="26"/>
        <v>6318.551075000001</v>
      </c>
      <c r="I197" s="511">
        <f t="shared" si="18"/>
        <v>22457.05</v>
      </c>
      <c r="J197" s="511">
        <f>Ctrl!$J$12</f>
        <v>414149</v>
      </c>
      <c r="K197" s="511"/>
      <c r="L197" s="21">
        <f t="shared" si="19"/>
        <v>12424.47</v>
      </c>
      <c r="M197" s="21">
        <f t="shared" si="20"/>
        <v>7040.533</v>
      </c>
      <c r="N197" s="21">
        <f t="shared" si="21"/>
        <v>6626.384</v>
      </c>
      <c r="O197" s="511">
        <f t="shared" si="25"/>
        <v>1242.4470000000001</v>
      </c>
      <c r="P197" s="505">
        <f t="shared" si="22"/>
        <v>2885.730925</v>
      </c>
      <c r="Q197" s="505"/>
    </row>
    <row r="198" spans="1:17" ht="22.5" customHeight="1">
      <c r="A198" s="70"/>
      <c r="B198" s="70">
        <v>17</v>
      </c>
      <c r="C198" s="71">
        <v>20000</v>
      </c>
      <c r="D198" s="620" t="s">
        <v>84</v>
      </c>
      <c r="E198" s="574">
        <v>3425</v>
      </c>
      <c r="F198" s="574" t="s">
        <v>37</v>
      </c>
      <c r="G198" s="80">
        <v>1925</v>
      </c>
      <c r="H198" s="80">
        <f t="shared" si="26"/>
        <v>6318.551075000001</v>
      </c>
      <c r="I198" s="511">
        <f aca="true" t="shared" si="27" ref="I198:I225">G198*$I$2</f>
        <v>22457.05</v>
      </c>
      <c r="J198" s="511">
        <f>Ctrl!$J$12</f>
        <v>414149</v>
      </c>
      <c r="K198" s="511"/>
      <c r="L198" s="21">
        <f aca="true" t="shared" si="28" ref="L198:L225">$L$2*J198</f>
        <v>12424.47</v>
      </c>
      <c r="M198" s="21">
        <f aca="true" t="shared" si="29" ref="M198:M225">$M$2*J198</f>
        <v>7040.533</v>
      </c>
      <c r="N198" s="21">
        <f aca="true" t="shared" si="30" ref="N198:N225">$N$2*J198</f>
        <v>6626.384</v>
      </c>
      <c r="O198" s="511">
        <f t="shared" si="25"/>
        <v>1242.4470000000001</v>
      </c>
      <c r="P198" s="505">
        <f aca="true" t="shared" si="31" ref="P198:P225">$P$2*I198</f>
        <v>2885.730925</v>
      </c>
      <c r="Q198" s="505"/>
    </row>
    <row r="199" spans="1:16" ht="22.5" customHeight="1">
      <c r="A199" s="36"/>
      <c r="B199" s="36">
        <v>18</v>
      </c>
      <c r="C199" s="55">
        <v>20000</v>
      </c>
      <c r="D199" s="624" t="s">
        <v>347</v>
      </c>
      <c r="E199" s="57">
        <v>3425</v>
      </c>
      <c r="F199" s="57" t="s">
        <v>145</v>
      </c>
      <c r="G199" s="77">
        <v>1875</v>
      </c>
      <c r="H199" s="77">
        <f t="shared" si="26"/>
        <v>5810.205125000002</v>
      </c>
      <c r="I199" s="511">
        <f t="shared" si="27"/>
        <v>21873.75</v>
      </c>
      <c r="J199" s="511">
        <f>Ctrl!$J$12</f>
        <v>414149</v>
      </c>
      <c r="K199" s="511"/>
      <c r="L199" s="21">
        <f t="shared" si="28"/>
        <v>12424.47</v>
      </c>
      <c r="M199" s="21">
        <f t="shared" si="29"/>
        <v>7040.533</v>
      </c>
      <c r="N199" s="21">
        <f t="shared" si="30"/>
        <v>6626.384</v>
      </c>
      <c r="O199" s="511">
        <f t="shared" si="25"/>
        <v>1242.4470000000001</v>
      </c>
      <c r="P199" s="505">
        <f t="shared" si="31"/>
        <v>2810.776875</v>
      </c>
    </row>
    <row r="200" spans="1:16" ht="22.5" customHeight="1">
      <c r="A200" s="445"/>
      <c r="B200" s="445">
        <v>19</v>
      </c>
      <c r="C200" s="446">
        <v>20000</v>
      </c>
      <c r="D200" s="630" t="s">
        <v>347</v>
      </c>
      <c r="E200" s="447">
        <v>3425</v>
      </c>
      <c r="F200" s="448" t="s">
        <v>363</v>
      </c>
      <c r="G200" s="449">
        <v>1900</v>
      </c>
      <c r="H200" s="616">
        <f t="shared" si="26"/>
        <v>6064.3781000000035</v>
      </c>
      <c r="I200" s="511">
        <f t="shared" si="27"/>
        <v>22165.4</v>
      </c>
      <c r="J200" s="511">
        <f>Ctrl!$J$12</f>
        <v>414149</v>
      </c>
      <c r="K200" s="511"/>
      <c r="L200" s="21">
        <f t="shared" si="28"/>
        <v>12424.47</v>
      </c>
      <c r="M200" s="21">
        <f t="shared" si="29"/>
        <v>7040.533</v>
      </c>
      <c r="N200" s="21">
        <f t="shared" si="30"/>
        <v>6626.384</v>
      </c>
      <c r="O200" s="511">
        <f t="shared" si="25"/>
        <v>1242.4470000000001</v>
      </c>
      <c r="P200" s="505">
        <f t="shared" si="31"/>
        <v>2848.2539</v>
      </c>
    </row>
    <row r="201" spans="1:18" ht="22.5" customHeight="1">
      <c r="A201" s="39"/>
      <c r="B201" s="39">
        <v>20</v>
      </c>
      <c r="C201" s="51">
        <v>20000</v>
      </c>
      <c r="D201" s="633" t="s">
        <v>84</v>
      </c>
      <c r="E201" s="58">
        <v>3425</v>
      </c>
      <c r="F201" s="58" t="s">
        <v>147</v>
      </c>
      <c r="G201" s="99">
        <v>1950</v>
      </c>
      <c r="H201" s="617">
        <f t="shared" si="26"/>
        <v>6572.7240500000025</v>
      </c>
      <c r="I201" s="511">
        <f t="shared" si="27"/>
        <v>22748.7</v>
      </c>
      <c r="J201" s="511">
        <f>Ctrl!$J$12</f>
        <v>414149</v>
      </c>
      <c r="K201" s="511"/>
      <c r="L201" s="21">
        <f t="shared" si="28"/>
        <v>12424.47</v>
      </c>
      <c r="M201" s="21">
        <f t="shared" si="29"/>
        <v>7040.533</v>
      </c>
      <c r="N201" s="21">
        <f t="shared" si="30"/>
        <v>6626.384</v>
      </c>
      <c r="O201" s="511">
        <f t="shared" si="25"/>
        <v>1242.4470000000001</v>
      </c>
      <c r="P201" s="505">
        <f t="shared" si="31"/>
        <v>2923.20795</v>
      </c>
      <c r="R201" s="506"/>
    </row>
    <row r="202" spans="1:17" ht="22.5" customHeight="1">
      <c r="A202" s="25"/>
      <c r="B202" s="25">
        <v>21</v>
      </c>
      <c r="C202" s="37">
        <v>20000</v>
      </c>
      <c r="D202" s="627" t="s">
        <v>347</v>
      </c>
      <c r="E202" s="59">
        <v>3425</v>
      </c>
      <c r="F202" s="59" t="s">
        <v>146</v>
      </c>
      <c r="G202" s="81">
        <v>1975</v>
      </c>
      <c r="H202" s="81">
        <f t="shared" si="26"/>
        <v>6826.897025000004</v>
      </c>
      <c r="I202" s="511">
        <f t="shared" si="27"/>
        <v>23040.350000000002</v>
      </c>
      <c r="J202" s="511">
        <f>Ctrl!$J$12</f>
        <v>414149</v>
      </c>
      <c r="K202" s="511"/>
      <c r="L202" s="21">
        <f t="shared" si="28"/>
        <v>12424.47</v>
      </c>
      <c r="M202" s="21">
        <f t="shared" si="29"/>
        <v>7040.533</v>
      </c>
      <c r="N202" s="21">
        <f t="shared" si="30"/>
        <v>6626.384</v>
      </c>
      <c r="O202" s="511">
        <f t="shared" si="25"/>
        <v>1242.4470000000001</v>
      </c>
      <c r="P202" s="505">
        <f t="shared" si="31"/>
        <v>2960.6849750000006</v>
      </c>
      <c r="Q202" s="505"/>
    </row>
    <row r="203" spans="1:17" ht="22.5" customHeight="1">
      <c r="A203" s="38"/>
      <c r="B203" s="38">
        <v>22</v>
      </c>
      <c r="C203" s="54">
        <v>20000</v>
      </c>
      <c r="D203" s="632" t="s">
        <v>347</v>
      </c>
      <c r="E203" s="89">
        <v>3425</v>
      </c>
      <c r="F203" s="393" t="s">
        <v>369</v>
      </c>
      <c r="G203" s="82">
        <v>2000</v>
      </c>
      <c r="H203" s="617">
        <f t="shared" si="26"/>
        <v>6533.381000000001</v>
      </c>
      <c r="I203" s="511">
        <f t="shared" si="27"/>
        <v>23332</v>
      </c>
      <c r="J203" s="511">
        <f>Ctrl!$J$12</f>
        <v>414149</v>
      </c>
      <c r="K203" s="98"/>
      <c r="L203" s="21">
        <f t="shared" si="28"/>
        <v>12424.47</v>
      </c>
      <c r="M203" s="21">
        <f t="shared" si="29"/>
        <v>7040.533</v>
      </c>
      <c r="N203" s="21">
        <f t="shared" si="30"/>
        <v>6626.384</v>
      </c>
      <c r="O203" s="98">
        <v>1790.136</v>
      </c>
      <c r="P203" s="505">
        <f t="shared" si="31"/>
        <v>2998.1620000000003</v>
      </c>
      <c r="Q203" s="508"/>
    </row>
    <row r="204" spans="1:17" ht="22.5" customHeight="1">
      <c r="A204" s="70"/>
      <c r="B204" s="70">
        <v>23</v>
      </c>
      <c r="C204" s="71">
        <v>25000</v>
      </c>
      <c r="D204" s="620" t="s">
        <v>347</v>
      </c>
      <c r="E204" s="574">
        <v>3425</v>
      </c>
      <c r="F204" s="574" t="s">
        <v>37</v>
      </c>
      <c r="G204" s="80">
        <v>1950</v>
      </c>
      <c r="H204" s="80">
        <f t="shared" si="26"/>
        <v>6572.7240500000025</v>
      </c>
      <c r="I204" s="511">
        <f t="shared" si="27"/>
        <v>22748.7</v>
      </c>
      <c r="J204" s="511">
        <f>Ctrl!$J$12</f>
        <v>414149</v>
      </c>
      <c r="K204" s="511"/>
      <c r="L204" s="21">
        <f t="shared" si="28"/>
        <v>12424.47</v>
      </c>
      <c r="M204" s="21">
        <f t="shared" si="29"/>
        <v>7040.533</v>
      </c>
      <c r="N204" s="21">
        <f t="shared" si="30"/>
        <v>6626.384</v>
      </c>
      <c r="O204" s="511">
        <f aca="true" t="shared" si="32" ref="O204:O225">$O$2*J204</f>
        <v>1242.4470000000001</v>
      </c>
      <c r="P204" s="505">
        <f t="shared" si="31"/>
        <v>2923.20795</v>
      </c>
      <c r="Q204" s="505"/>
    </row>
    <row r="205" spans="1:17" ht="22.5" customHeight="1">
      <c r="A205" s="36"/>
      <c r="B205" s="36">
        <v>24</v>
      </c>
      <c r="C205" s="55">
        <v>25000</v>
      </c>
      <c r="D205" s="624" t="s">
        <v>347</v>
      </c>
      <c r="E205" s="57">
        <v>3425</v>
      </c>
      <c r="F205" s="57" t="s">
        <v>145</v>
      </c>
      <c r="G205" s="77">
        <v>1900</v>
      </c>
      <c r="H205" s="77">
        <f t="shared" si="26"/>
        <v>6064.3781000000035</v>
      </c>
      <c r="I205" s="511">
        <f t="shared" si="27"/>
        <v>22165.4</v>
      </c>
      <c r="J205" s="511">
        <f>Ctrl!$J$12</f>
        <v>414149</v>
      </c>
      <c r="K205" s="511"/>
      <c r="L205" s="21">
        <f t="shared" si="28"/>
        <v>12424.47</v>
      </c>
      <c r="M205" s="21">
        <f t="shared" si="29"/>
        <v>7040.533</v>
      </c>
      <c r="N205" s="21">
        <f t="shared" si="30"/>
        <v>6626.384</v>
      </c>
      <c r="O205" s="511">
        <f t="shared" si="32"/>
        <v>1242.4470000000001</v>
      </c>
      <c r="P205" s="505">
        <f t="shared" si="31"/>
        <v>2848.2539</v>
      </c>
      <c r="Q205" s="505"/>
    </row>
    <row r="206" spans="1:18" ht="22.5" customHeight="1">
      <c r="A206" s="445"/>
      <c r="B206" s="445">
        <v>25</v>
      </c>
      <c r="C206" s="446">
        <v>25000</v>
      </c>
      <c r="D206" s="630" t="s">
        <v>347</v>
      </c>
      <c r="E206" s="447">
        <v>3425</v>
      </c>
      <c r="F206" s="450" t="s">
        <v>276</v>
      </c>
      <c r="G206" s="449">
        <v>1925</v>
      </c>
      <c r="H206" s="616">
        <f t="shared" si="26"/>
        <v>6318.551075000001</v>
      </c>
      <c r="I206" s="511">
        <f t="shared" si="27"/>
        <v>22457.05</v>
      </c>
      <c r="J206" s="511">
        <f>Ctrl!$J$12</f>
        <v>414149</v>
      </c>
      <c r="K206" s="511"/>
      <c r="L206" s="21">
        <f t="shared" si="28"/>
        <v>12424.47</v>
      </c>
      <c r="M206" s="21">
        <f t="shared" si="29"/>
        <v>7040.533</v>
      </c>
      <c r="N206" s="21">
        <f t="shared" si="30"/>
        <v>6626.384</v>
      </c>
      <c r="O206" s="511">
        <f t="shared" si="32"/>
        <v>1242.4470000000001</v>
      </c>
      <c r="P206" s="505">
        <f t="shared" si="31"/>
        <v>2885.730925</v>
      </c>
      <c r="Q206" s="505"/>
      <c r="R206" s="506"/>
    </row>
    <row r="207" spans="1:17" ht="22.5" customHeight="1">
      <c r="A207" s="39"/>
      <c r="B207" s="39">
        <v>26</v>
      </c>
      <c r="C207" s="51">
        <v>25000</v>
      </c>
      <c r="D207" s="633" t="s">
        <v>347</v>
      </c>
      <c r="E207" s="58">
        <v>3425</v>
      </c>
      <c r="F207" s="58" t="s">
        <v>147</v>
      </c>
      <c r="G207" s="99">
        <v>1975</v>
      </c>
      <c r="H207" s="617">
        <f t="shared" si="26"/>
        <v>6826.897025000004</v>
      </c>
      <c r="I207" s="511">
        <f t="shared" si="27"/>
        <v>23040.350000000002</v>
      </c>
      <c r="J207" s="511">
        <f>Ctrl!$J$12</f>
        <v>414149</v>
      </c>
      <c r="K207" s="511"/>
      <c r="L207" s="21">
        <f t="shared" si="28"/>
        <v>12424.47</v>
      </c>
      <c r="M207" s="21">
        <f t="shared" si="29"/>
        <v>7040.533</v>
      </c>
      <c r="N207" s="21">
        <f t="shared" si="30"/>
        <v>6626.384</v>
      </c>
      <c r="O207" s="511">
        <f t="shared" si="32"/>
        <v>1242.4470000000001</v>
      </c>
      <c r="P207" s="505">
        <f t="shared" si="31"/>
        <v>2960.6849750000006</v>
      </c>
      <c r="Q207" s="505"/>
    </row>
    <row r="208" spans="1:17" ht="22.5" customHeight="1">
      <c r="A208" s="25"/>
      <c r="B208" s="25">
        <v>27</v>
      </c>
      <c r="C208" s="37">
        <v>25000</v>
      </c>
      <c r="D208" s="627" t="s">
        <v>347</v>
      </c>
      <c r="E208" s="59">
        <v>3425</v>
      </c>
      <c r="F208" s="59" t="s">
        <v>146</v>
      </c>
      <c r="G208" s="81">
        <v>2000</v>
      </c>
      <c r="H208" s="81">
        <f t="shared" si="26"/>
        <v>7081.0700000000015</v>
      </c>
      <c r="I208" s="511">
        <f t="shared" si="27"/>
        <v>23332</v>
      </c>
      <c r="J208" s="511">
        <f>Ctrl!$J$12</f>
        <v>414149</v>
      </c>
      <c r="K208" s="511"/>
      <c r="L208" s="21">
        <f t="shared" si="28"/>
        <v>12424.47</v>
      </c>
      <c r="M208" s="21">
        <f t="shared" si="29"/>
        <v>7040.533</v>
      </c>
      <c r="N208" s="21">
        <f t="shared" si="30"/>
        <v>6626.384</v>
      </c>
      <c r="O208" s="511">
        <f t="shared" si="32"/>
        <v>1242.4470000000001</v>
      </c>
      <c r="P208" s="505">
        <f t="shared" si="31"/>
        <v>2998.1620000000003</v>
      </c>
      <c r="Q208" s="505"/>
    </row>
    <row r="209" spans="1:17" ht="22.5" customHeight="1">
      <c r="A209" s="38"/>
      <c r="B209" s="38">
        <v>28</v>
      </c>
      <c r="C209" s="54">
        <v>25000</v>
      </c>
      <c r="D209" s="632" t="s">
        <v>347</v>
      </c>
      <c r="E209" s="89">
        <v>3425</v>
      </c>
      <c r="F209" s="88" t="s">
        <v>369</v>
      </c>
      <c r="G209" s="82">
        <v>2025</v>
      </c>
      <c r="H209" s="617">
        <f t="shared" si="26"/>
        <v>7335.242975000003</v>
      </c>
      <c r="I209" s="511">
        <f t="shared" si="27"/>
        <v>23623.65</v>
      </c>
      <c r="J209" s="511">
        <f>Ctrl!$J$12</f>
        <v>414149</v>
      </c>
      <c r="K209" s="511"/>
      <c r="L209" s="21">
        <f t="shared" si="28"/>
        <v>12424.47</v>
      </c>
      <c r="M209" s="21">
        <f t="shared" si="29"/>
        <v>7040.533</v>
      </c>
      <c r="N209" s="21">
        <f t="shared" si="30"/>
        <v>6626.384</v>
      </c>
      <c r="O209" s="511">
        <f t="shared" si="32"/>
        <v>1242.4470000000001</v>
      </c>
      <c r="P209" s="505">
        <f t="shared" si="31"/>
        <v>3035.6390250000004</v>
      </c>
      <c r="Q209" s="505"/>
    </row>
    <row r="210" spans="1:17" ht="22.5" customHeight="1">
      <c r="A210" s="70"/>
      <c r="B210" s="70">
        <v>29</v>
      </c>
      <c r="C210" s="71">
        <v>30000</v>
      </c>
      <c r="D210" s="620" t="s">
        <v>84</v>
      </c>
      <c r="E210" s="574">
        <v>3425</v>
      </c>
      <c r="F210" s="574" t="s">
        <v>37</v>
      </c>
      <c r="G210" s="80">
        <v>1965</v>
      </c>
      <c r="H210" s="80">
        <f t="shared" si="26"/>
        <v>6725.227835000003</v>
      </c>
      <c r="I210" s="511">
        <f t="shared" si="27"/>
        <v>22923.690000000002</v>
      </c>
      <c r="J210" s="511">
        <f>Ctrl!$J$12</f>
        <v>414149</v>
      </c>
      <c r="K210" s="511"/>
      <c r="L210" s="21">
        <f t="shared" si="28"/>
        <v>12424.47</v>
      </c>
      <c r="M210" s="21">
        <f t="shared" si="29"/>
        <v>7040.533</v>
      </c>
      <c r="N210" s="21">
        <f t="shared" si="30"/>
        <v>6626.384</v>
      </c>
      <c r="O210" s="511">
        <f t="shared" si="32"/>
        <v>1242.4470000000001</v>
      </c>
      <c r="P210" s="505">
        <f t="shared" si="31"/>
        <v>2945.6941650000003</v>
      </c>
      <c r="Q210" s="505"/>
    </row>
    <row r="211" spans="1:18" ht="22.5" customHeight="1">
      <c r="A211" s="36"/>
      <c r="B211" s="36">
        <v>30</v>
      </c>
      <c r="C211" s="55">
        <v>30000</v>
      </c>
      <c r="D211" s="624" t="s">
        <v>84</v>
      </c>
      <c r="E211" s="57">
        <v>3425</v>
      </c>
      <c r="F211" s="57" t="s">
        <v>145</v>
      </c>
      <c r="G211" s="77">
        <v>1915</v>
      </c>
      <c r="H211" s="77">
        <f t="shared" si="26"/>
        <v>6216.881885000001</v>
      </c>
      <c r="I211" s="511">
        <f t="shared" si="27"/>
        <v>22340.39</v>
      </c>
      <c r="J211" s="511">
        <f>Ctrl!$J$12</f>
        <v>414149</v>
      </c>
      <c r="K211" s="511"/>
      <c r="L211" s="21">
        <f t="shared" si="28"/>
        <v>12424.47</v>
      </c>
      <c r="M211" s="21">
        <f t="shared" si="29"/>
        <v>7040.533</v>
      </c>
      <c r="N211" s="21">
        <f t="shared" si="30"/>
        <v>6626.384</v>
      </c>
      <c r="O211" s="511">
        <f t="shared" si="32"/>
        <v>1242.4470000000001</v>
      </c>
      <c r="P211" s="505">
        <f t="shared" si="31"/>
        <v>2870.740115</v>
      </c>
      <c r="Q211" s="505"/>
      <c r="R211" s="506"/>
    </row>
    <row r="212" spans="1:17" ht="22.5" customHeight="1">
      <c r="A212" s="445"/>
      <c r="B212" s="445">
        <v>31</v>
      </c>
      <c r="C212" s="446">
        <v>30000</v>
      </c>
      <c r="D212" s="630" t="s">
        <v>84</v>
      </c>
      <c r="E212" s="447">
        <v>3425</v>
      </c>
      <c r="F212" s="577" t="s">
        <v>276</v>
      </c>
      <c r="G212" s="449">
        <v>1940</v>
      </c>
      <c r="H212" s="616">
        <f t="shared" si="26"/>
        <v>6471.054860000002</v>
      </c>
      <c r="I212" s="511">
        <f t="shared" si="27"/>
        <v>22632.04</v>
      </c>
      <c r="J212" s="511">
        <f>Ctrl!$J$12</f>
        <v>414149</v>
      </c>
      <c r="K212" s="511"/>
      <c r="L212" s="21">
        <f t="shared" si="28"/>
        <v>12424.47</v>
      </c>
      <c r="M212" s="21">
        <f t="shared" si="29"/>
        <v>7040.533</v>
      </c>
      <c r="N212" s="21">
        <f t="shared" si="30"/>
        <v>6626.384</v>
      </c>
      <c r="O212" s="511">
        <f t="shared" si="32"/>
        <v>1242.4470000000001</v>
      </c>
      <c r="P212" s="505">
        <f t="shared" si="31"/>
        <v>2908.21714</v>
      </c>
      <c r="Q212" s="505"/>
    </row>
    <row r="213" spans="1:17" ht="22.5" customHeight="1">
      <c r="A213" s="39"/>
      <c r="B213" s="39">
        <v>32</v>
      </c>
      <c r="C213" s="51">
        <v>30000</v>
      </c>
      <c r="D213" s="633" t="s">
        <v>84</v>
      </c>
      <c r="E213" s="58">
        <v>3425</v>
      </c>
      <c r="F213" s="58" t="s">
        <v>147</v>
      </c>
      <c r="G213" s="99">
        <v>1990</v>
      </c>
      <c r="H213" s="617">
        <f t="shared" si="26"/>
        <v>6979.400810000002</v>
      </c>
      <c r="I213" s="511">
        <f t="shared" si="27"/>
        <v>23215.34</v>
      </c>
      <c r="J213" s="511">
        <f>Ctrl!$J$12</f>
        <v>414149</v>
      </c>
      <c r="K213" s="511"/>
      <c r="L213" s="21">
        <f t="shared" si="28"/>
        <v>12424.47</v>
      </c>
      <c r="M213" s="21">
        <f t="shared" si="29"/>
        <v>7040.533</v>
      </c>
      <c r="N213" s="21">
        <f t="shared" si="30"/>
        <v>6626.384</v>
      </c>
      <c r="O213" s="511">
        <f t="shared" si="32"/>
        <v>1242.4470000000001</v>
      </c>
      <c r="P213" s="505">
        <f t="shared" si="31"/>
        <v>2983.17119</v>
      </c>
      <c r="Q213" s="505"/>
    </row>
    <row r="214" spans="1:17" ht="22.5" customHeight="1">
      <c r="A214" s="25"/>
      <c r="B214" s="25">
        <v>33</v>
      </c>
      <c r="C214" s="37">
        <v>30000</v>
      </c>
      <c r="D214" s="627" t="s">
        <v>347</v>
      </c>
      <c r="E214" s="59">
        <v>3425</v>
      </c>
      <c r="F214" s="59" t="s">
        <v>146</v>
      </c>
      <c r="G214" s="81">
        <v>2015</v>
      </c>
      <c r="H214" s="81">
        <f t="shared" si="26"/>
        <v>7233.573785000003</v>
      </c>
      <c r="I214" s="511">
        <f t="shared" si="27"/>
        <v>23506.99</v>
      </c>
      <c r="J214" s="511">
        <f>Ctrl!$J$12</f>
        <v>414149</v>
      </c>
      <c r="K214" s="511"/>
      <c r="L214" s="21">
        <f t="shared" si="28"/>
        <v>12424.47</v>
      </c>
      <c r="M214" s="21">
        <f t="shared" si="29"/>
        <v>7040.533</v>
      </c>
      <c r="N214" s="21">
        <f t="shared" si="30"/>
        <v>6626.384</v>
      </c>
      <c r="O214" s="511">
        <f t="shared" si="32"/>
        <v>1242.4470000000001</v>
      </c>
      <c r="P214" s="505">
        <f t="shared" si="31"/>
        <v>3020.648215</v>
      </c>
      <c r="Q214" s="505"/>
    </row>
    <row r="215" spans="1:17" ht="22.5" customHeight="1">
      <c r="A215" s="38"/>
      <c r="B215" s="38">
        <v>34</v>
      </c>
      <c r="C215" s="54">
        <v>30000</v>
      </c>
      <c r="D215" s="632" t="s">
        <v>347</v>
      </c>
      <c r="E215" s="89">
        <v>3425</v>
      </c>
      <c r="F215" s="88" t="s">
        <v>369</v>
      </c>
      <c r="G215" s="99">
        <v>2040</v>
      </c>
      <c r="H215" s="617">
        <f t="shared" si="26"/>
        <v>7487.746760000002</v>
      </c>
      <c r="I215" s="511">
        <f t="shared" si="27"/>
        <v>23798.64</v>
      </c>
      <c r="J215" s="511">
        <f>Ctrl!$J$12</f>
        <v>414149</v>
      </c>
      <c r="K215" s="511"/>
      <c r="L215" s="21">
        <f t="shared" si="28"/>
        <v>12424.47</v>
      </c>
      <c r="M215" s="21">
        <f t="shared" si="29"/>
        <v>7040.533</v>
      </c>
      <c r="N215" s="21">
        <f t="shared" si="30"/>
        <v>6626.384</v>
      </c>
      <c r="O215" s="511">
        <f t="shared" si="32"/>
        <v>1242.4470000000001</v>
      </c>
      <c r="P215" s="505">
        <f t="shared" si="31"/>
        <v>3058.12524</v>
      </c>
      <c r="Q215" s="505"/>
    </row>
    <row r="216" spans="1:18" ht="22.5" customHeight="1">
      <c r="A216" s="70"/>
      <c r="B216" s="70">
        <v>35</v>
      </c>
      <c r="C216" s="71">
        <v>31686</v>
      </c>
      <c r="D216" s="620" t="s">
        <v>84</v>
      </c>
      <c r="E216" s="574">
        <v>3425</v>
      </c>
      <c r="F216" s="574" t="s">
        <v>37</v>
      </c>
      <c r="G216" s="80">
        <v>1965</v>
      </c>
      <c r="H216" s="80">
        <f t="shared" si="26"/>
        <v>6725.227835000003</v>
      </c>
      <c r="I216" s="511">
        <f t="shared" si="27"/>
        <v>22923.690000000002</v>
      </c>
      <c r="J216" s="511">
        <f>Ctrl!$J$12</f>
        <v>414149</v>
      </c>
      <c r="K216" s="511"/>
      <c r="L216" s="21">
        <f t="shared" si="28"/>
        <v>12424.47</v>
      </c>
      <c r="M216" s="21">
        <f t="shared" si="29"/>
        <v>7040.533</v>
      </c>
      <c r="N216" s="21">
        <f t="shared" si="30"/>
        <v>6626.384</v>
      </c>
      <c r="O216" s="511">
        <f t="shared" si="32"/>
        <v>1242.4470000000001</v>
      </c>
      <c r="P216" s="505">
        <f t="shared" si="31"/>
        <v>2945.6941650000003</v>
      </c>
      <c r="Q216" s="505"/>
      <c r="R216" s="506"/>
    </row>
    <row r="217" spans="1:17" ht="22.5" customHeight="1">
      <c r="A217" s="36"/>
      <c r="B217" s="36">
        <v>36</v>
      </c>
      <c r="C217" s="52">
        <v>31686</v>
      </c>
      <c r="D217" s="624" t="s">
        <v>84</v>
      </c>
      <c r="E217" s="57">
        <v>3425</v>
      </c>
      <c r="F217" s="57" t="s">
        <v>145</v>
      </c>
      <c r="G217" s="615">
        <v>1915</v>
      </c>
      <c r="H217" s="77">
        <f t="shared" si="26"/>
        <v>6216.881885000001</v>
      </c>
      <c r="I217" s="511">
        <f t="shared" si="27"/>
        <v>22340.39</v>
      </c>
      <c r="J217" s="511">
        <f>Ctrl!$J$12</f>
        <v>414149</v>
      </c>
      <c r="K217" s="511"/>
      <c r="L217" s="21">
        <f t="shared" si="28"/>
        <v>12424.47</v>
      </c>
      <c r="M217" s="21">
        <f t="shared" si="29"/>
        <v>7040.533</v>
      </c>
      <c r="N217" s="21">
        <f t="shared" si="30"/>
        <v>6626.384</v>
      </c>
      <c r="O217" s="511">
        <f t="shared" si="32"/>
        <v>1242.4470000000001</v>
      </c>
      <c r="P217" s="505">
        <f t="shared" si="31"/>
        <v>2870.740115</v>
      </c>
      <c r="Q217" s="505"/>
    </row>
    <row r="218" spans="1:17" ht="22.5" customHeight="1">
      <c r="A218" s="445"/>
      <c r="B218" s="445">
        <v>37</v>
      </c>
      <c r="C218" s="446">
        <v>31686</v>
      </c>
      <c r="D218" s="630" t="s">
        <v>84</v>
      </c>
      <c r="E218" s="447">
        <v>3425</v>
      </c>
      <c r="F218" s="450" t="s">
        <v>276</v>
      </c>
      <c r="G218" s="616">
        <v>1940</v>
      </c>
      <c r="H218" s="616">
        <f t="shared" si="26"/>
        <v>6471.054860000002</v>
      </c>
      <c r="I218" s="511">
        <f t="shared" si="27"/>
        <v>22632.04</v>
      </c>
      <c r="J218" s="511">
        <f>Ctrl!$J$12</f>
        <v>414149</v>
      </c>
      <c r="K218" s="511"/>
      <c r="L218" s="21">
        <f t="shared" si="28"/>
        <v>12424.47</v>
      </c>
      <c r="M218" s="21">
        <f t="shared" si="29"/>
        <v>7040.533</v>
      </c>
      <c r="N218" s="21">
        <f t="shared" si="30"/>
        <v>6626.384</v>
      </c>
      <c r="O218" s="511">
        <f t="shared" si="32"/>
        <v>1242.4470000000001</v>
      </c>
      <c r="P218" s="505">
        <f t="shared" si="31"/>
        <v>2908.21714</v>
      </c>
      <c r="Q218" s="505"/>
    </row>
    <row r="219" spans="1:17" ht="22.5" customHeight="1">
      <c r="A219" s="39"/>
      <c r="B219" s="39">
        <v>38</v>
      </c>
      <c r="C219" s="51">
        <v>31686</v>
      </c>
      <c r="D219" s="633" t="s">
        <v>84</v>
      </c>
      <c r="E219" s="58">
        <v>3425</v>
      </c>
      <c r="F219" s="58" t="s">
        <v>147</v>
      </c>
      <c r="G219" s="617">
        <v>1990</v>
      </c>
      <c r="H219" s="617">
        <f t="shared" si="26"/>
        <v>6979.400810000002</v>
      </c>
      <c r="I219" s="511">
        <f t="shared" si="27"/>
        <v>23215.34</v>
      </c>
      <c r="J219" s="511">
        <f>Ctrl!$J$12</f>
        <v>414149</v>
      </c>
      <c r="K219" s="511"/>
      <c r="L219" s="21">
        <f t="shared" si="28"/>
        <v>12424.47</v>
      </c>
      <c r="M219" s="21">
        <f t="shared" si="29"/>
        <v>7040.533</v>
      </c>
      <c r="N219" s="21">
        <f t="shared" si="30"/>
        <v>6626.384</v>
      </c>
      <c r="O219" s="511">
        <f t="shared" si="32"/>
        <v>1242.4470000000001</v>
      </c>
      <c r="P219" s="505">
        <f t="shared" si="31"/>
        <v>2983.17119</v>
      </c>
      <c r="Q219" s="505"/>
    </row>
    <row r="220" spans="1:17" ht="22.5" customHeight="1">
      <c r="A220" s="25"/>
      <c r="B220" s="25">
        <v>39</v>
      </c>
      <c r="C220" s="53">
        <v>31686</v>
      </c>
      <c r="D220" s="627" t="s">
        <v>347</v>
      </c>
      <c r="E220" s="59">
        <v>3425</v>
      </c>
      <c r="F220" s="59" t="s">
        <v>146</v>
      </c>
      <c r="G220" s="618">
        <v>2015</v>
      </c>
      <c r="H220" s="81">
        <f t="shared" si="26"/>
        <v>7233.573785000003</v>
      </c>
      <c r="I220" s="511">
        <f t="shared" si="27"/>
        <v>23506.99</v>
      </c>
      <c r="J220" s="511">
        <f>Ctrl!$J$12</f>
        <v>414149</v>
      </c>
      <c r="K220" s="511"/>
      <c r="L220" s="21">
        <f t="shared" si="28"/>
        <v>12424.47</v>
      </c>
      <c r="M220" s="21">
        <f t="shared" si="29"/>
        <v>7040.533</v>
      </c>
      <c r="N220" s="21">
        <f t="shared" si="30"/>
        <v>6626.384</v>
      </c>
      <c r="O220" s="511">
        <f t="shared" si="32"/>
        <v>1242.4470000000001</v>
      </c>
      <c r="P220" s="505">
        <f t="shared" si="31"/>
        <v>3020.648215</v>
      </c>
      <c r="Q220" s="505"/>
    </row>
    <row r="221" spans="1:18" ht="22.5" customHeight="1">
      <c r="A221" s="70"/>
      <c r="B221" s="70">
        <v>40</v>
      </c>
      <c r="C221" s="71">
        <v>53328</v>
      </c>
      <c r="D221" s="620" t="s">
        <v>84</v>
      </c>
      <c r="E221" s="574">
        <v>3425</v>
      </c>
      <c r="F221" s="574" t="s">
        <v>37</v>
      </c>
      <c r="G221" s="80">
        <v>1965</v>
      </c>
      <c r="H221" s="80">
        <f t="shared" si="26"/>
        <v>6725.227835000003</v>
      </c>
      <c r="I221" s="511">
        <f t="shared" si="27"/>
        <v>22923.690000000002</v>
      </c>
      <c r="J221" s="511">
        <f>Ctrl!$J$12</f>
        <v>414149</v>
      </c>
      <c r="K221" s="511"/>
      <c r="L221" s="21">
        <f t="shared" si="28"/>
        <v>12424.47</v>
      </c>
      <c r="M221" s="21">
        <f t="shared" si="29"/>
        <v>7040.533</v>
      </c>
      <c r="N221" s="21">
        <f t="shared" si="30"/>
        <v>6626.384</v>
      </c>
      <c r="O221" s="511">
        <f t="shared" si="32"/>
        <v>1242.4470000000001</v>
      </c>
      <c r="P221" s="505">
        <f t="shared" si="31"/>
        <v>2945.6941650000003</v>
      </c>
      <c r="Q221" s="505"/>
      <c r="R221" s="506"/>
    </row>
    <row r="222" spans="1:17" ht="22.5" customHeight="1">
      <c r="A222" s="36"/>
      <c r="B222" s="36">
        <v>41</v>
      </c>
      <c r="C222" s="52">
        <v>53328</v>
      </c>
      <c r="D222" s="624" t="s">
        <v>84</v>
      </c>
      <c r="E222" s="57">
        <v>3425</v>
      </c>
      <c r="F222" s="575" t="s">
        <v>418</v>
      </c>
      <c r="G222" s="77">
        <v>1915</v>
      </c>
      <c r="H222" s="77">
        <f t="shared" si="26"/>
        <v>6216.881885000001</v>
      </c>
      <c r="I222" s="511">
        <f t="shared" si="27"/>
        <v>22340.39</v>
      </c>
      <c r="J222" s="511">
        <f>Ctrl!$J$12</f>
        <v>414149</v>
      </c>
      <c r="K222" s="511"/>
      <c r="L222" s="21">
        <f t="shared" si="28"/>
        <v>12424.47</v>
      </c>
      <c r="M222" s="21">
        <f t="shared" si="29"/>
        <v>7040.533</v>
      </c>
      <c r="N222" s="21">
        <f t="shared" si="30"/>
        <v>6626.384</v>
      </c>
      <c r="O222" s="511">
        <f t="shared" si="32"/>
        <v>1242.4470000000001</v>
      </c>
      <c r="P222" s="505">
        <f t="shared" si="31"/>
        <v>2870.740115</v>
      </c>
      <c r="Q222" s="505"/>
    </row>
    <row r="223" spans="1:17" ht="22.5" customHeight="1">
      <c r="A223" s="445"/>
      <c r="B223" s="445">
        <v>42</v>
      </c>
      <c r="C223" s="446">
        <v>53328</v>
      </c>
      <c r="D223" s="630" t="s">
        <v>84</v>
      </c>
      <c r="E223" s="447">
        <v>3425</v>
      </c>
      <c r="F223" s="448" t="s">
        <v>236</v>
      </c>
      <c r="G223" s="449">
        <v>1940</v>
      </c>
      <c r="H223" s="616">
        <f t="shared" si="26"/>
        <v>6471.054860000002</v>
      </c>
      <c r="I223" s="511">
        <f t="shared" si="27"/>
        <v>22632.04</v>
      </c>
      <c r="J223" s="511">
        <f>Ctrl!$J$12</f>
        <v>414149</v>
      </c>
      <c r="K223" s="511"/>
      <c r="L223" s="21">
        <f t="shared" si="28"/>
        <v>12424.47</v>
      </c>
      <c r="M223" s="21">
        <f t="shared" si="29"/>
        <v>7040.533</v>
      </c>
      <c r="N223" s="21">
        <f t="shared" si="30"/>
        <v>6626.384</v>
      </c>
      <c r="O223" s="511">
        <f t="shared" si="32"/>
        <v>1242.4470000000001</v>
      </c>
      <c r="P223" s="505">
        <f t="shared" si="31"/>
        <v>2908.21714</v>
      </c>
      <c r="Q223" s="505"/>
    </row>
    <row r="224" spans="1:17" ht="22.5" customHeight="1">
      <c r="A224" s="39"/>
      <c r="B224" s="39">
        <v>43</v>
      </c>
      <c r="C224" s="51">
        <v>53328</v>
      </c>
      <c r="D224" s="633" t="s">
        <v>84</v>
      </c>
      <c r="E224" s="58">
        <v>3425</v>
      </c>
      <c r="F224" s="89" t="s">
        <v>147</v>
      </c>
      <c r="G224" s="99">
        <v>1990</v>
      </c>
      <c r="H224" s="617">
        <f t="shared" si="26"/>
        <v>6979.400810000002</v>
      </c>
      <c r="I224" s="511">
        <f t="shared" si="27"/>
        <v>23215.34</v>
      </c>
      <c r="J224" s="511">
        <f>Ctrl!$J$12</f>
        <v>414149</v>
      </c>
      <c r="K224" s="511"/>
      <c r="L224" s="21">
        <f t="shared" si="28"/>
        <v>12424.47</v>
      </c>
      <c r="M224" s="21">
        <f t="shared" si="29"/>
        <v>7040.533</v>
      </c>
      <c r="N224" s="21">
        <f t="shared" si="30"/>
        <v>6626.384</v>
      </c>
      <c r="O224" s="511">
        <f t="shared" si="32"/>
        <v>1242.4470000000001</v>
      </c>
      <c r="P224" s="505">
        <f t="shared" si="31"/>
        <v>2983.17119</v>
      </c>
      <c r="Q224" s="505"/>
    </row>
    <row r="225" spans="1:17" ht="22.5" customHeight="1">
      <c r="A225" s="25"/>
      <c r="B225" s="25">
        <v>44</v>
      </c>
      <c r="C225" s="53">
        <v>53328</v>
      </c>
      <c r="D225" s="627" t="s">
        <v>347</v>
      </c>
      <c r="E225" s="59">
        <v>3425</v>
      </c>
      <c r="F225" s="59" t="s">
        <v>146</v>
      </c>
      <c r="G225" s="81">
        <v>2015</v>
      </c>
      <c r="H225" s="81">
        <f t="shared" si="26"/>
        <v>7233.573785000003</v>
      </c>
      <c r="I225" s="511">
        <f t="shared" si="27"/>
        <v>23506.99</v>
      </c>
      <c r="J225" s="511">
        <f>Ctrl!$J$12</f>
        <v>414149</v>
      </c>
      <c r="K225" s="511"/>
      <c r="L225" s="21">
        <f t="shared" si="28"/>
        <v>12424.47</v>
      </c>
      <c r="M225" s="21">
        <f t="shared" si="29"/>
        <v>7040.533</v>
      </c>
      <c r="N225" s="21">
        <f t="shared" si="30"/>
        <v>6626.384</v>
      </c>
      <c r="O225" s="511">
        <f t="shared" si="32"/>
        <v>1242.4470000000001</v>
      </c>
      <c r="P225" s="505">
        <f t="shared" si="31"/>
        <v>3020.648215</v>
      </c>
      <c r="Q225" s="505"/>
    </row>
    <row r="226" spans="3:17" ht="22.5" customHeight="1">
      <c r="C226" s="6"/>
      <c r="D226" s="30"/>
      <c r="E226" s="31"/>
      <c r="F226" s="85"/>
      <c r="G226" s="32"/>
      <c r="H226" s="13"/>
      <c r="I226" s="5"/>
      <c r="J226" s="509"/>
      <c r="K226" s="509"/>
      <c r="L226" s="18"/>
      <c r="M226" s="18"/>
      <c r="N226" s="18"/>
      <c r="O226" s="18"/>
      <c r="P226" s="16"/>
      <c r="Q226" s="17"/>
    </row>
    <row r="227" spans="2:17" ht="22.5" customHeight="1">
      <c r="B227" s="25"/>
      <c r="C227" s="37"/>
      <c r="D227" s="634"/>
      <c r="E227" s="59"/>
      <c r="F227" s="59"/>
      <c r="G227" s="513"/>
      <c r="H227" s="651"/>
      <c r="I227" s="511"/>
      <c r="J227" s="511"/>
      <c r="K227" s="511"/>
      <c r="L227" s="21"/>
      <c r="M227" s="21"/>
      <c r="N227" s="21"/>
      <c r="O227" s="511"/>
      <c r="P227" s="505"/>
      <c r="Q227" s="505"/>
    </row>
    <row r="229" spans="1:18" ht="22.5" customHeight="1">
      <c r="A229"/>
      <c r="B229"/>
      <c r="C229"/>
      <c r="D229" s="172"/>
      <c r="E229"/>
      <c r="F229"/>
      <c r="G229"/>
      <c r="H229" s="694"/>
      <c r="I229"/>
      <c r="J229"/>
      <c r="K229"/>
      <c r="L229"/>
      <c r="M229"/>
      <c r="N229"/>
      <c r="O229"/>
      <c r="P229"/>
      <c r="Q229"/>
      <c r="R229"/>
    </row>
    <row r="230" spans="1:18" ht="22.5" customHeight="1">
      <c r="A230"/>
      <c r="B230"/>
      <c r="C230"/>
      <c r="D230" s="172"/>
      <c r="E230"/>
      <c r="F230"/>
      <c r="G230"/>
      <c r="H230" s="694"/>
      <c r="I230"/>
      <c r="J230"/>
      <c r="K230"/>
      <c r="L230"/>
      <c r="M230"/>
      <c r="N230"/>
      <c r="O230"/>
      <c r="P230"/>
      <c r="Q230"/>
      <c r="R230"/>
    </row>
    <row r="231" spans="1:18" ht="22.5" customHeight="1">
      <c r="A231"/>
      <c r="B231"/>
      <c r="C231"/>
      <c r="D231" s="172"/>
      <c r="E231"/>
      <c r="F231"/>
      <c r="G231"/>
      <c r="H231" s="694"/>
      <c r="I231"/>
      <c r="J231"/>
      <c r="K231"/>
      <c r="L231"/>
      <c r="M231"/>
      <c r="N231"/>
      <c r="O231"/>
      <c r="P231"/>
      <c r="Q231"/>
      <c r="R231"/>
    </row>
    <row r="232" spans="1:18" ht="22.5" customHeight="1">
      <c r="A232"/>
      <c r="B232"/>
      <c r="C232"/>
      <c r="D232" s="172"/>
      <c r="E232"/>
      <c r="F232"/>
      <c r="G232"/>
      <c r="H232" s="694"/>
      <c r="I232"/>
      <c r="J232"/>
      <c r="K232"/>
      <c r="L232"/>
      <c r="M232"/>
      <c r="N232"/>
      <c r="O232"/>
      <c r="P232"/>
      <c r="Q232"/>
      <c r="R232"/>
    </row>
    <row r="233" spans="1:18" ht="22.5" customHeight="1">
      <c r="A233"/>
      <c r="B233"/>
      <c r="C233"/>
      <c r="D233" s="172"/>
      <c r="E233"/>
      <c r="F233"/>
      <c r="G233"/>
      <c r="H233" s="694"/>
      <c r="I233"/>
      <c r="J233"/>
      <c r="K233"/>
      <c r="L233"/>
      <c r="M233"/>
      <c r="N233"/>
      <c r="O233"/>
      <c r="P233"/>
      <c r="Q233"/>
      <c r="R233"/>
    </row>
    <row r="234" spans="1:18" ht="22.5" customHeight="1">
      <c r="A234"/>
      <c r="B234"/>
      <c r="C234"/>
      <c r="D234" s="172"/>
      <c r="E234"/>
      <c r="F234"/>
      <c r="G234"/>
      <c r="H234" s="694"/>
      <c r="I234"/>
      <c r="J234"/>
      <c r="K234"/>
      <c r="L234"/>
      <c r="M234"/>
      <c r="N234"/>
      <c r="O234"/>
      <c r="P234"/>
      <c r="Q234"/>
      <c r="R234"/>
    </row>
    <row r="235" spans="1:18" ht="22.5" customHeight="1">
      <c r="A235"/>
      <c r="B235"/>
      <c r="C235"/>
      <c r="D235" s="172"/>
      <c r="E235"/>
      <c r="F235"/>
      <c r="G235"/>
      <c r="H235" s="694"/>
      <c r="I235"/>
      <c r="J235"/>
      <c r="K235"/>
      <c r="L235"/>
      <c r="M235"/>
      <c r="N235"/>
      <c r="O235"/>
      <c r="P235"/>
      <c r="Q235"/>
      <c r="R235"/>
    </row>
    <row r="236" spans="1:18" ht="22.5" customHeight="1">
      <c r="A236"/>
      <c r="B236"/>
      <c r="C236"/>
      <c r="D236" s="172"/>
      <c r="E236"/>
      <c r="F236"/>
      <c r="G236"/>
      <c r="H236" s="694"/>
      <c r="I236"/>
      <c r="J236"/>
      <c r="K236"/>
      <c r="L236"/>
      <c r="M236"/>
      <c r="N236"/>
      <c r="O236"/>
      <c r="P236"/>
      <c r="Q236"/>
      <c r="R236"/>
    </row>
    <row r="237" spans="1:18" ht="22.5" customHeight="1">
      <c r="A237"/>
      <c r="B237"/>
      <c r="C237"/>
      <c r="D237" s="172"/>
      <c r="E237"/>
      <c r="F237"/>
      <c r="G237"/>
      <c r="H237" s="694"/>
      <c r="I237"/>
      <c r="J237"/>
      <c r="K237"/>
      <c r="L237"/>
      <c r="M237"/>
      <c r="N237"/>
      <c r="O237"/>
      <c r="P237"/>
      <c r="Q237"/>
      <c r="R237"/>
    </row>
    <row r="238" spans="1:18" ht="22.5" customHeight="1">
      <c r="A238"/>
      <c r="B238"/>
      <c r="C238"/>
      <c r="D238" s="172"/>
      <c r="E238"/>
      <c r="F238"/>
      <c r="G238"/>
      <c r="H238" s="694"/>
      <c r="I238"/>
      <c r="J238"/>
      <c r="K238"/>
      <c r="L238"/>
      <c r="M238"/>
      <c r="N238"/>
      <c r="O238"/>
      <c r="P238"/>
      <c r="Q238"/>
      <c r="R238"/>
    </row>
    <row r="239" spans="1:18" ht="22.5" customHeight="1">
      <c r="A239"/>
      <c r="B239"/>
      <c r="C239"/>
      <c r="D239" s="172"/>
      <c r="E239"/>
      <c r="F239"/>
      <c r="G239"/>
      <c r="H239" s="694"/>
      <c r="I239"/>
      <c r="J239"/>
      <c r="K239"/>
      <c r="L239"/>
      <c r="M239"/>
      <c r="N239"/>
      <c r="O239"/>
      <c r="P239"/>
      <c r="Q239"/>
      <c r="R239"/>
    </row>
    <row r="240" spans="1:18" ht="22.5" customHeight="1">
      <c r="A240"/>
      <c r="B240"/>
      <c r="C240"/>
      <c r="D240" s="172"/>
      <c r="E240"/>
      <c r="F240"/>
      <c r="G240"/>
      <c r="H240" s="694"/>
      <c r="I240"/>
      <c r="J240"/>
      <c r="K240"/>
      <c r="L240"/>
      <c r="M240"/>
      <c r="N240"/>
      <c r="O240"/>
      <c r="P240"/>
      <c r="Q240"/>
      <c r="R240"/>
    </row>
    <row r="241" spans="1:18" ht="22.5" customHeight="1">
      <c r="A241"/>
      <c r="B241"/>
      <c r="C241"/>
      <c r="D241" s="172"/>
      <c r="E241"/>
      <c r="F241"/>
      <c r="G241"/>
      <c r="H241" s="694"/>
      <c r="I241"/>
      <c r="J241"/>
      <c r="K241"/>
      <c r="L241"/>
      <c r="M241"/>
      <c r="N241"/>
      <c r="O241"/>
      <c r="P241"/>
      <c r="Q241"/>
      <c r="R241"/>
    </row>
    <row r="242" spans="1:18" ht="22.5" customHeight="1">
      <c r="A242"/>
      <c r="B242"/>
      <c r="C242"/>
      <c r="D242" s="172"/>
      <c r="E242"/>
      <c r="F242"/>
      <c r="G242"/>
      <c r="H242" s="694"/>
      <c r="I242"/>
      <c r="J242"/>
      <c r="K242"/>
      <c r="L242"/>
      <c r="M242"/>
      <c r="N242"/>
      <c r="O242"/>
      <c r="P242"/>
      <c r="Q242"/>
      <c r="R242"/>
    </row>
    <row r="243" spans="1:18" ht="22.5" customHeight="1">
      <c r="A243"/>
      <c r="B243"/>
      <c r="C243"/>
      <c r="D243" s="172"/>
      <c r="E243"/>
      <c r="F243"/>
      <c r="G243"/>
      <c r="H243" s="694"/>
      <c r="I243"/>
      <c r="J243"/>
      <c r="K243"/>
      <c r="L243"/>
      <c r="M243"/>
      <c r="N243"/>
      <c r="O243"/>
      <c r="P243"/>
      <c r="Q243"/>
      <c r="R243"/>
    </row>
    <row r="244" spans="1:18" ht="22.5" customHeight="1">
      <c r="A244"/>
      <c r="B244"/>
      <c r="C244"/>
      <c r="D244" s="172"/>
      <c r="E244"/>
      <c r="F244"/>
      <c r="G244"/>
      <c r="H244" s="694"/>
      <c r="I244"/>
      <c r="J244"/>
      <c r="K244"/>
      <c r="L244"/>
      <c r="M244"/>
      <c r="N244"/>
      <c r="O244"/>
      <c r="P244"/>
      <c r="Q244"/>
      <c r="R244"/>
    </row>
    <row r="245" spans="1:18" ht="22.5" customHeight="1">
      <c r="A245"/>
      <c r="B245"/>
      <c r="C245"/>
      <c r="D245" s="172"/>
      <c r="E245"/>
      <c r="F245"/>
      <c r="G245"/>
      <c r="H245" s="694"/>
      <c r="I245"/>
      <c r="J245"/>
      <c r="K245"/>
      <c r="L245"/>
      <c r="M245"/>
      <c r="N245"/>
      <c r="O245"/>
      <c r="P245"/>
      <c r="Q245"/>
      <c r="R245"/>
    </row>
    <row r="246" spans="1:18" ht="22.5" customHeight="1">
      <c r="A246"/>
      <c r="B246"/>
      <c r="C246"/>
      <c r="D246" s="172"/>
      <c r="E246"/>
      <c r="F246"/>
      <c r="G246"/>
      <c r="H246" s="694"/>
      <c r="I246"/>
      <c r="J246"/>
      <c r="K246"/>
      <c r="L246"/>
      <c r="M246"/>
      <c r="N246"/>
      <c r="O246"/>
      <c r="P246"/>
      <c r="Q246"/>
      <c r="R246"/>
    </row>
    <row r="247" spans="1:18" ht="22.5" customHeight="1">
      <c r="A247"/>
      <c r="B247"/>
      <c r="C247"/>
      <c r="D247" s="172"/>
      <c r="E247"/>
      <c r="F247"/>
      <c r="G247"/>
      <c r="H247" s="694"/>
      <c r="I247"/>
      <c r="J247"/>
      <c r="K247"/>
      <c r="L247"/>
      <c r="M247"/>
      <c r="N247"/>
      <c r="O247"/>
      <c r="P247"/>
      <c r="Q247"/>
      <c r="R247"/>
    </row>
    <row r="248" spans="1:18" ht="22.5" customHeight="1">
      <c r="A248"/>
      <c r="B248"/>
      <c r="C248"/>
      <c r="D248" s="172"/>
      <c r="E248"/>
      <c r="F248"/>
      <c r="G248"/>
      <c r="H248" s="694"/>
      <c r="I248"/>
      <c r="J248"/>
      <c r="K248"/>
      <c r="L248"/>
      <c r="M248"/>
      <c r="N248"/>
      <c r="O248"/>
      <c r="P248"/>
      <c r="Q248"/>
      <c r="R248"/>
    </row>
    <row r="249" spans="1:18" ht="22.5" customHeight="1">
      <c r="A249"/>
      <c r="B249"/>
      <c r="C249"/>
      <c r="D249" s="172"/>
      <c r="E249"/>
      <c r="F249"/>
      <c r="G249"/>
      <c r="H249" s="694"/>
      <c r="I249"/>
      <c r="J249"/>
      <c r="K249"/>
      <c r="L249"/>
      <c r="M249"/>
      <c r="N249"/>
      <c r="O249"/>
      <c r="P249"/>
      <c r="Q249"/>
      <c r="R249"/>
    </row>
    <row r="250" spans="1:18" ht="22.5" customHeight="1">
      <c r="A250"/>
      <c r="B250"/>
      <c r="C250"/>
      <c r="D250" s="172"/>
      <c r="E250"/>
      <c r="F250"/>
      <c r="G250"/>
      <c r="H250" s="694"/>
      <c r="I250"/>
      <c r="J250"/>
      <c r="K250"/>
      <c r="L250"/>
      <c r="M250"/>
      <c r="N250"/>
      <c r="O250"/>
      <c r="P250"/>
      <c r="Q250"/>
      <c r="R250"/>
    </row>
    <row r="251" spans="1:18" ht="22.5" customHeight="1">
      <c r="A251"/>
      <c r="B251"/>
      <c r="C251"/>
      <c r="D251" s="172"/>
      <c r="E251"/>
      <c r="F251"/>
      <c r="G251"/>
      <c r="H251" s="694"/>
      <c r="I251"/>
      <c r="J251"/>
      <c r="K251"/>
      <c r="L251"/>
      <c r="M251"/>
      <c r="N251"/>
      <c r="O251"/>
      <c r="P251"/>
      <c r="Q251"/>
      <c r="R251"/>
    </row>
    <row r="252" spans="1:18" s="17" customFormat="1" ht="22.5" customHeight="1">
      <c r="A252"/>
      <c r="B252"/>
      <c r="C252"/>
      <c r="D252" s="172"/>
      <c r="E252"/>
      <c r="F252"/>
      <c r="G252"/>
      <c r="H252" s="694"/>
      <c r="I252"/>
      <c r="J252"/>
      <c r="K252"/>
      <c r="L252"/>
      <c r="M252"/>
      <c r="N252"/>
      <c r="O252"/>
      <c r="P252"/>
      <c r="Q252"/>
      <c r="R252"/>
    </row>
    <row r="253" spans="1:18" s="17" customFormat="1" ht="22.5" customHeight="1">
      <c r="A253"/>
      <c r="B253"/>
      <c r="C253"/>
      <c r="D253" s="172"/>
      <c r="E253"/>
      <c r="F253"/>
      <c r="G253"/>
      <c r="H253" s="694"/>
      <c r="I253"/>
      <c r="J253"/>
      <c r="K253"/>
      <c r="L253"/>
      <c r="M253"/>
      <c r="N253"/>
      <c r="O253"/>
      <c r="P253"/>
      <c r="Q253"/>
      <c r="R253"/>
    </row>
    <row r="254" spans="1:18" s="17" customFormat="1" ht="22.5" customHeight="1">
      <c r="A254"/>
      <c r="B254"/>
      <c r="C254"/>
      <c r="D254" s="172"/>
      <c r="E254"/>
      <c r="F254"/>
      <c r="G254"/>
      <c r="H254" s="694"/>
      <c r="I254"/>
      <c r="J254"/>
      <c r="K254"/>
      <c r="L254"/>
      <c r="M254"/>
      <c r="N254"/>
      <c r="O254"/>
      <c r="P254"/>
      <c r="Q254"/>
      <c r="R254"/>
    </row>
    <row r="255" spans="1:18" s="17" customFormat="1" ht="22.5" customHeight="1">
      <c r="A255"/>
      <c r="B255"/>
      <c r="C255"/>
      <c r="D255" s="172"/>
      <c r="E255"/>
      <c r="F255"/>
      <c r="G255"/>
      <c r="H255" s="694"/>
      <c r="I255"/>
      <c r="J255"/>
      <c r="K255"/>
      <c r="L255"/>
      <c r="M255"/>
      <c r="N255"/>
      <c r="O255"/>
      <c r="P255"/>
      <c r="Q255"/>
      <c r="R255"/>
    </row>
    <row r="256" spans="1:18" s="17" customFormat="1" ht="22.5" customHeight="1">
      <c r="A256"/>
      <c r="B256"/>
      <c r="C256"/>
      <c r="D256" s="172"/>
      <c r="E256"/>
      <c r="F256"/>
      <c r="G256"/>
      <c r="H256" s="694"/>
      <c r="I256"/>
      <c r="J256"/>
      <c r="K256"/>
      <c r="L256"/>
      <c r="M256"/>
      <c r="N256"/>
      <c r="O256"/>
      <c r="P256"/>
      <c r="Q256"/>
      <c r="R256"/>
    </row>
    <row r="257" spans="1:18" s="17" customFormat="1" ht="22.5" customHeight="1">
      <c r="A257"/>
      <c r="B257"/>
      <c r="C257"/>
      <c r="D257" s="172"/>
      <c r="E257"/>
      <c r="F257"/>
      <c r="G257"/>
      <c r="H257" s="694"/>
      <c r="I257"/>
      <c r="J257"/>
      <c r="K257"/>
      <c r="L257"/>
      <c r="M257"/>
      <c r="N257"/>
      <c r="O257"/>
      <c r="P257"/>
      <c r="Q257"/>
      <c r="R257"/>
    </row>
    <row r="258" spans="1:18" s="17" customFormat="1" ht="22.5" customHeight="1">
      <c r="A258"/>
      <c r="B258"/>
      <c r="C258"/>
      <c r="D258" s="172"/>
      <c r="E258"/>
      <c r="F258"/>
      <c r="G258"/>
      <c r="H258" s="694"/>
      <c r="I258"/>
      <c r="J258"/>
      <c r="K258"/>
      <c r="L258"/>
      <c r="M258"/>
      <c r="N258"/>
      <c r="O258"/>
      <c r="P258"/>
      <c r="Q258"/>
      <c r="R258"/>
    </row>
    <row r="259" spans="1:18" s="17" customFormat="1" ht="22.5" customHeight="1">
      <c r="A259"/>
      <c r="B259"/>
      <c r="C259"/>
      <c r="D259" s="172"/>
      <c r="E259"/>
      <c r="F259"/>
      <c r="G259"/>
      <c r="H259" s="694"/>
      <c r="I259"/>
      <c r="J259"/>
      <c r="K259"/>
      <c r="L259"/>
      <c r="M259"/>
      <c r="N259"/>
      <c r="O259"/>
      <c r="P259"/>
      <c r="Q259"/>
      <c r="R259"/>
    </row>
    <row r="260" spans="1:18" s="17" customFormat="1" ht="22.5" customHeight="1">
      <c r="A260"/>
      <c r="B260"/>
      <c r="C260"/>
      <c r="D260" s="172"/>
      <c r="E260"/>
      <c r="F260"/>
      <c r="G260"/>
      <c r="H260" s="694"/>
      <c r="I260"/>
      <c r="J260"/>
      <c r="K260"/>
      <c r="L260"/>
      <c r="M260"/>
      <c r="N260"/>
      <c r="O260"/>
      <c r="P260"/>
      <c r="Q260"/>
      <c r="R260"/>
    </row>
    <row r="261" spans="1:18" s="17" customFormat="1" ht="22.5" customHeight="1">
      <c r="A261"/>
      <c r="B261"/>
      <c r="C261"/>
      <c r="D261" s="172"/>
      <c r="E261"/>
      <c r="F261"/>
      <c r="G261"/>
      <c r="H261" s="694"/>
      <c r="I261"/>
      <c r="J261"/>
      <c r="K261"/>
      <c r="L261"/>
      <c r="M261"/>
      <c r="N261"/>
      <c r="O261"/>
      <c r="P261"/>
      <c r="Q261"/>
      <c r="R261"/>
    </row>
    <row r="262" spans="1:18" s="17" customFormat="1" ht="22.5" customHeight="1">
      <c r="A262"/>
      <c r="B262"/>
      <c r="C262"/>
      <c r="D262" s="172"/>
      <c r="E262"/>
      <c r="F262"/>
      <c r="G262"/>
      <c r="H262" s="694"/>
      <c r="I262"/>
      <c r="J262"/>
      <c r="K262"/>
      <c r="L262"/>
      <c r="M262"/>
      <c r="N262"/>
      <c r="O262"/>
      <c r="P262"/>
      <c r="Q262"/>
      <c r="R262"/>
    </row>
    <row r="263" spans="1:18" s="17" customFormat="1" ht="22.5" customHeight="1">
      <c r="A263"/>
      <c r="B263"/>
      <c r="C263"/>
      <c r="D263" s="172"/>
      <c r="E263"/>
      <c r="F263"/>
      <c r="G263"/>
      <c r="H263" s="694"/>
      <c r="I263"/>
      <c r="J263"/>
      <c r="K263"/>
      <c r="L263"/>
      <c r="M263"/>
      <c r="N263"/>
      <c r="O263"/>
      <c r="P263"/>
      <c r="Q263"/>
      <c r="R263"/>
    </row>
    <row r="264" spans="1:18" s="17" customFormat="1" ht="22.5" customHeight="1">
      <c r="A264"/>
      <c r="B264"/>
      <c r="C264"/>
      <c r="D264" s="172"/>
      <c r="E264"/>
      <c r="F264"/>
      <c r="G264"/>
      <c r="H264" s="694"/>
      <c r="I264"/>
      <c r="J264"/>
      <c r="K264"/>
      <c r="L264"/>
      <c r="M264"/>
      <c r="N264"/>
      <c r="O264"/>
      <c r="P264"/>
      <c r="Q264"/>
      <c r="R264"/>
    </row>
    <row r="265" spans="1:18" s="17" customFormat="1" ht="22.5" customHeight="1">
      <c r="A265"/>
      <c r="B265"/>
      <c r="C265"/>
      <c r="D265" s="172"/>
      <c r="E265"/>
      <c r="F265"/>
      <c r="G265"/>
      <c r="H265" s="694"/>
      <c r="I265"/>
      <c r="J265"/>
      <c r="K265"/>
      <c r="L265"/>
      <c r="M265"/>
      <c r="N265"/>
      <c r="O265"/>
      <c r="P265"/>
      <c r="Q265"/>
      <c r="R265"/>
    </row>
    <row r="266" spans="1:18" s="17" customFormat="1" ht="22.5" customHeight="1">
      <c r="A266"/>
      <c r="B266"/>
      <c r="C266"/>
      <c r="D266" s="172"/>
      <c r="E266"/>
      <c r="F266"/>
      <c r="G266"/>
      <c r="H266" s="694"/>
      <c r="I266"/>
      <c r="J266"/>
      <c r="K266"/>
      <c r="L266"/>
      <c r="M266"/>
      <c r="N266"/>
      <c r="O266"/>
      <c r="P266"/>
      <c r="Q266"/>
      <c r="R266"/>
    </row>
    <row r="267" spans="1:18" s="17" customFormat="1" ht="22.5" customHeight="1">
      <c r="A267"/>
      <c r="B267"/>
      <c r="C267"/>
      <c r="D267" s="172"/>
      <c r="E267"/>
      <c r="F267"/>
      <c r="G267"/>
      <c r="H267" s="694"/>
      <c r="I267"/>
      <c r="J267"/>
      <c r="K267"/>
      <c r="L267"/>
      <c r="M267"/>
      <c r="N267"/>
      <c r="O267"/>
      <c r="P267"/>
      <c r="Q267"/>
      <c r="R267"/>
    </row>
    <row r="268" spans="1:18" s="17" customFormat="1" ht="22.5" customHeight="1">
      <c r="A268"/>
      <c r="B268"/>
      <c r="C268"/>
      <c r="D268" s="172"/>
      <c r="E268"/>
      <c r="F268"/>
      <c r="G268"/>
      <c r="H268" s="694"/>
      <c r="I268"/>
      <c r="J268"/>
      <c r="K268"/>
      <c r="L268"/>
      <c r="M268"/>
      <c r="N268"/>
      <c r="O268"/>
      <c r="P268"/>
      <c r="Q268"/>
      <c r="R268"/>
    </row>
    <row r="269" spans="1:18" s="17" customFormat="1" ht="22.5" customHeight="1">
      <c r="A269"/>
      <c r="B269"/>
      <c r="C269"/>
      <c r="D269" s="172"/>
      <c r="E269"/>
      <c r="F269"/>
      <c r="G269"/>
      <c r="H269" s="694"/>
      <c r="I269"/>
      <c r="J269"/>
      <c r="K269"/>
      <c r="L269"/>
      <c r="M269"/>
      <c r="N269"/>
      <c r="O269"/>
      <c r="P269"/>
      <c r="Q269"/>
      <c r="R269"/>
    </row>
    <row r="270" spans="1:18" s="17" customFormat="1" ht="22.5" customHeight="1">
      <c r="A270"/>
      <c r="B270"/>
      <c r="C270"/>
      <c r="D270" s="172"/>
      <c r="E270"/>
      <c r="F270"/>
      <c r="G270"/>
      <c r="H270" s="694"/>
      <c r="I270"/>
      <c r="J270"/>
      <c r="K270"/>
      <c r="L270"/>
      <c r="M270"/>
      <c r="N270"/>
      <c r="O270"/>
      <c r="P270"/>
      <c r="Q270"/>
      <c r="R270"/>
    </row>
    <row r="271" spans="1:18" s="17" customFormat="1" ht="22.5" customHeight="1">
      <c r="A271"/>
      <c r="B271"/>
      <c r="C271"/>
      <c r="D271" s="172"/>
      <c r="E271"/>
      <c r="F271"/>
      <c r="G271"/>
      <c r="H271" s="694"/>
      <c r="I271"/>
      <c r="J271"/>
      <c r="K271"/>
      <c r="L271"/>
      <c r="M271"/>
      <c r="N271"/>
      <c r="O271"/>
      <c r="P271"/>
      <c r="Q271"/>
      <c r="R271"/>
    </row>
    <row r="272" spans="1:18" s="17" customFormat="1" ht="22.5" customHeight="1">
      <c r="A272"/>
      <c r="B272"/>
      <c r="C272"/>
      <c r="D272" s="172"/>
      <c r="E272"/>
      <c r="F272"/>
      <c r="G272"/>
      <c r="H272" s="694"/>
      <c r="I272"/>
      <c r="J272"/>
      <c r="K272"/>
      <c r="L272"/>
      <c r="M272"/>
      <c r="N272"/>
      <c r="O272"/>
      <c r="P272"/>
      <c r="Q272"/>
      <c r="R272"/>
    </row>
    <row r="273" spans="1:18" s="17" customFormat="1" ht="22.5" customHeight="1">
      <c r="A273"/>
      <c r="B273"/>
      <c r="C273"/>
      <c r="D273" s="172"/>
      <c r="E273"/>
      <c r="F273"/>
      <c r="G273"/>
      <c r="H273" s="694"/>
      <c r="I273"/>
      <c r="J273"/>
      <c r="K273"/>
      <c r="L273"/>
      <c r="M273"/>
      <c r="N273"/>
      <c r="O273"/>
      <c r="P273"/>
      <c r="Q273"/>
      <c r="R273"/>
    </row>
    <row r="274" spans="1:18" s="17" customFormat="1" ht="22.5" customHeight="1">
      <c r="A274"/>
      <c r="B274"/>
      <c r="C274"/>
      <c r="D274" s="172"/>
      <c r="E274"/>
      <c r="F274"/>
      <c r="G274"/>
      <c r="H274" s="694"/>
      <c r="I274"/>
      <c r="J274"/>
      <c r="K274"/>
      <c r="L274"/>
      <c r="M274"/>
      <c r="N274"/>
      <c r="O274"/>
      <c r="P274"/>
      <c r="Q274"/>
      <c r="R274"/>
    </row>
    <row r="275" spans="1:18" ht="22.5" customHeight="1">
      <c r="A275"/>
      <c r="B275"/>
      <c r="C275"/>
      <c r="D275" s="172"/>
      <c r="E275"/>
      <c r="F275"/>
      <c r="G275"/>
      <c r="H275" s="694"/>
      <c r="I275"/>
      <c r="J275"/>
      <c r="K275"/>
      <c r="L275"/>
      <c r="M275"/>
      <c r="N275"/>
      <c r="O275"/>
      <c r="P275"/>
      <c r="Q275"/>
      <c r="R275"/>
    </row>
    <row r="276" spans="1:18" ht="22.5" customHeight="1">
      <c r="A276"/>
      <c r="B276"/>
      <c r="C276"/>
      <c r="D276" s="172"/>
      <c r="E276"/>
      <c r="F276"/>
      <c r="G276"/>
      <c r="H276" s="694"/>
      <c r="I276"/>
      <c r="J276"/>
      <c r="K276"/>
      <c r="L276"/>
      <c r="M276"/>
      <c r="N276"/>
      <c r="O276"/>
      <c r="P276"/>
      <c r="Q276"/>
      <c r="R276"/>
    </row>
    <row r="277" ht="22.5" customHeight="1">
      <c r="D277" s="61"/>
    </row>
    <row r="278" ht="22.5" customHeight="1">
      <c r="D278" s="61"/>
    </row>
    <row r="279" spans="1:14" ht="22.5" customHeight="1">
      <c r="A279" s="40"/>
      <c r="C279" s="50"/>
      <c r="D279" s="34"/>
      <c r="E279" s="24"/>
      <c r="F279" s="24"/>
      <c r="G279" s="513"/>
      <c r="H279" s="651"/>
      <c r="I279" s="47"/>
      <c r="J279" s="511"/>
      <c r="K279" s="511"/>
      <c r="L279" s="21"/>
      <c r="M279" s="21"/>
      <c r="N279" s="21"/>
    </row>
    <row r="280" spans="1:14" ht="22.5" customHeight="1">
      <c r="A280" s="40"/>
      <c r="C280" s="56"/>
      <c r="D280" s="34"/>
      <c r="E280" s="24"/>
      <c r="F280" s="24"/>
      <c r="G280" s="513"/>
      <c r="H280" s="651"/>
      <c r="I280" s="46"/>
      <c r="J280" s="511"/>
      <c r="K280" s="511"/>
      <c r="L280" s="21"/>
      <c r="M280" s="21"/>
      <c r="N280" s="21"/>
    </row>
    <row r="281" spans="1:14" ht="22.5" customHeight="1">
      <c r="A281" s="42"/>
      <c r="C281" s="50"/>
      <c r="D281" s="34"/>
      <c r="E281" s="24"/>
      <c r="F281" s="24"/>
      <c r="G281" s="513"/>
      <c r="H281" s="651"/>
      <c r="I281" s="47"/>
      <c r="J281" s="511"/>
      <c r="K281" s="511"/>
      <c r="L281" s="21"/>
      <c r="M281" s="21"/>
      <c r="N281" s="21"/>
    </row>
    <row r="282" spans="1:14" ht="22.5" customHeight="1">
      <c r="A282" s="62"/>
      <c r="C282" s="50"/>
      <c r="D282" s="34"/>
      <c r="E282" s="24"/>
      <c r="F282" s="24"/>
      <c r="H282" s="651"/>
      <c r="I282" s="47"/>
      <c r="J282" s="511"/>
      <c r="K282" s="511"/>
      <c r="L282" s="21"/>
      <c r="M282" s="21"/>
      <c r="N282" s="21"/>
    </row>
    <row r="283" spans="1:14" ht="22.5" customHeight="1">
      <c r="A283" s="44"/>
      <c r="C283" s="50"/>
      <c r="D283" s="34"/>
      <c r="E283" s="24"/>
      <c r="F283" s="24"/>
      <c r="H283" s="651"/>
      <c r="I283" s="47"/>
      <c r="J283" s="511"/>
      <c r="K283" s="511"/>
      <c r="L283" s="21"/>
      <c r="M283" s="21"/>
      <c r="N283" s="21"/>
    </row>
    <row r="284" spans="1:14" ht="22.5" customHeight="1">
      <c r="A284" s="43"/>
      <c r="C284" s="50"/>
      <c r="D284" s="34"/>
      <c r="E284" s="24"/>
      <c r="F284" s="24"/>
      <c r="H284" s="651"/>
      <c r="I284" s="47"/>
      <c r="J284" s="511"/>
      <c r="K284" s="511"/>
      <c r="L284" s="21"/>
      <c r="M284" s="21"/>
      <c r="N284" s="21"/>
    </row>
    <row r="285" spans="1:14" ht="22.5" customHeight="1">
      <c r="A285" s="42"/>
      <c r="B285" s="36"/>
      <c r="C285" s="35"/>
      <c r="D285" s="34"/>
      <c r="E285" s="24"/>
      <c r="F285" s="24"/>
      <c r="H285" s="651"/>
      <c r="I285" s="47"/>
      <c r="J285" s="511"/>
      <c r="K285" s="511"/>
      <c r="L285" s="21"/>
      <c r="M285" s="21"/>
      <c r="N285" s="21"/>
    </row>
    <row r="286" spans="1:14" ht="22.5" customHeight="1">
      <c r="A286" s="62"/>
      <c r="C286" s="50"/>
      <c r="D286" s="34"/>
      <c r="E286" s="24"/>
      <c r="F286" s="24"/>
      <c r="H286" s="651"/>
      <c r="I286" s="47"/>
      <c r="J286" s="511"/>
      <c r="K286" s="511"/>
      <c r="L286" s="21"/>
      <c r="M286" s="21"/>
      <c r="N286" s="21"/>
    </row>
    <row r="287" spans="1:14" ht="22.5" customHeight="1">
      <c r="A287" s="41"/>
      <c r="C287" s="50"/>
      <c r="D287" s="34"/>
      <c r="E287" s="24"/>
      <c r="F287" s="24"/>
      <c r="G287" s="513"/>
      <c r="H287" s="651"/>
      <c r="I287" s="47"/>
      <c r="J287" s="511"/>
      <c r="K287" s="511"/>
      <c r="L287" s="21"/>
      <c r="M287" s="21"/>
      <c r="N287" s="21"/>
    </row>
    <row r="288" spans="1:14" ht="22.5" customHeight="1">
      <c r="A288" s="43"/>
      <c r="C288" s="50"/>
      <c r="D288" s="34"/>
      <c r="E288" s="24"/>
      <c r="F288" s="24"/>
      <c r="G288" s="513"/>
      <c r="H288" s="651"/>
      <c r="I288" s="47"/>
      <c r="J288" s="511"/>
      <c r="K288" s="511"/>
      <c r="L288" s="21"/>
      <c r="M288" s="21"/>
      <c r="N288" s="21"/>
    </row>
    <row r="289" spans="1:14" ht="22.5" customHeight="1">
      <c r="A289" s="42"/>
      <c r="C289" s="50"/>
      <c r="D289" s="34"/>
      <c r="E289" s="24"/>
      <c r="F289" s="24"/>
      <c r="G289" s="513"/>
      <c r="H289" s="651"/>
      <c r="I289" s="47"/>
      <c r="J289" s="511"/>
      <c r="K289" s="511"/>
      <c r="L289" s="21"/>
      <c r="M289" s="21"/>
      <c r="N289" s="21"/>
    </row>
    <row r="290" spans="1:14" ht="22.5" customHeight="1">
      <c r="A290" s="44"/>
      <c r="C290" s="50"/>
      <c r="D290" s="22"/>
      <c r="E290" s="24"/>
      <c r="F290" s="24"/>
      <c r="H290" s="651"/>
      <c r="I290" s="47"/>
      <c r="J290" s="511"/>
      <c r="K290" s="511"/>
      <c r="L290" s="21"/>
      <c r="M290" s="21"/>
      <c r="N290" s="21"/>
    </row>
    <row r="291" spans="1:9" ht="22.5" customHeight="1">
      <c r="A291" s="44"/>
      <c r="D291" s="22"/>
      <c r="E291" s="24"/>
      <c r="F291" s="24"/>
      <c r="H291" s="651"/>
      <c r="I291" s="47"/>
    </row>
    <row r="292" spans="1:9" ht="22.5" customHeight="1">
      <c r="A292" s="44"/>
      <c r="D292" s="22"/>
      <c r="E292" s="24"/>
      <c r="F292" s="24"/>
      <c r="H292" s="651"/>
      <c r="I292" s="47"/>
    </row>
    <row r="293" spans="1:18" s="510" customFormat="1" ht="22.5" customHeight="1">
      <c r="A293" s="43"/>
      <c r="B293" s="22"/>
      <c r="C293" s="12"/>
      <c r="D293" s="22"/>
      <c r="E293" s="24"/>
      <c r="F293" s="24"/>
      <c r="G293" s="26"/>
      <c r="H293" s="651"/>
      <c r="I293" s="47"/>
      <c r="J293" s="648"/>
      <c r="K293" s="648"/>
      <c r="L293" s="12"/>
      <c r="M293" s="27"/>
      <c r="N293" s="12"/>
      <c r="O293" s="12"/>
      <c r="P293" s="12"/>
      <c r="Q293" s="12"/>
      <c r="R293" s="505"/>
    </row>
    <row r="294" spans="1:18" s="510" customFormat="1" ht="22.5" customHeight="1">
      <c r="A294" s="42"/>
      <c r="B294" s="22"/>
      <c r="C294" s="12"/>
      <c r="D294" s="22"/>
      <c r="E294" s="24"/>
      <c r="F294" s="24"/>
      <c r="G294" s="26"/>
      <c r="H294" s="651"/>
      <c r="I294" s="47"/>
      <c r="J294" s="648"/>
      <c r="K294" s="648"/>
      <c r="L294" s="12"/>
      <c r="M294" s="27"/>
      <c r="N294" s="12"/>
      <c r="O294" s="12"/>
      <c r="P294" s="12"/>
      <c r="Q294" s="12"/>
      <c r="R294" s="505"/>
    </row>
    <row r="295" spans="1:18" s="510" customFormat="1" ht="22.5" customHeight="1">
      <c r="A295" s="44"/>
      <c r="B295" s="22"/>
      <c r="C295" s="50"/>
      <c r="D295" s="22"/>
      <c r="E295" s="24"/>
      <c r="F295" s="24"/>
      <c r="G295" s="26"/>
      <c r="H295" s="651"/>
      <c r="I295" s="47"/>
      <c r="J295" s="648"/>
      <c r="K295" s="648"/>
      <c r="L295" s="12"/>
      <c r="M295" s="27"/>
      <c r="N295" s="12"/>
      <c r="O295" s="12"/>
      <c r="P295" s="12"/>
      <c r="Q295" s="12"/>
      <c r="R295" s="505"/>
    </row>
    <row r="296" spans="1:18" s="510" customFormat="1" ht="22.5" customHeight="1">
      <c r="A296" s="44"/>
      <c r="B296" s="22"/>
      <c r="C296" s="12"/>
      <c r="D296" s="22"/>
      <c r="E296" s="12"/>
      <c r="F296" s="12"/>
      <c r="G296" s="26"/>
      <c r="H296" s="26"/>
      <c r="I296" s="12"/>
      <c r="J296" s="648"/>
      <c r="K296" s="648"/>
      <c r="L296" s="12"/>
      <c r="M296" s="27"/>
      <c r="N296" s="12"/>
      <c r="O296" s="12"/>
      <c r="P296" s="12"/>
      <c r="Q296" s="12"/>
      <c r="R296" s="505"/>
    </row>
    <row r="297" spans="1:18" s="510" customFormat="1" ht="22.5" customHeight="1">
      <c r="A297" s="44"/>
      <c r="B297" s="22"/>
      <c r="C297" s="12"/>
      <c r="D297" s="22"/>
      <c r="E297" s="12"/>
      <c r="F297" s="12"/>
      <c r="G297" s="26"/>
      <c r="H297" s="26"/>
      <c r="I297" s="12"/>
      <c r="J297" s="648"/>
      <c r="K297" s="648"/>
      <c r="L297" s="12"/>
      <c r="M297" s="27"/>
      <c r="N297" s="12"/>
      <c r="O297" s="12"/>
      <c r="P297" s="12"/>
      <c r="Q297" s="12"/>
      <c r="R297" s="505"/>
    </row>
    <row r="298" spans="1:18" s="510" customFormat="1" ht="22.5" customHeight="1">
      <c r="A298" s="43"/>
      <c r="B298" s="22"/>
      <c r="C298" s="12"/>
      <c r="D298" s="22"/>
      <c r="E298" s="12"/>
      <c r="F298" s="12"/>
      <c r="G298" s="26"/>
      <c r="H298" s="26"/>
      <c r="I298" s="12"/>
      <c r="J298" s="648"/>
      <c r="K298" s="648"/>
      <c r="L298" s="12"/>
      <c r="M298" s="27"/>
      <c r="N298" s="12"/>
      <c r="O298" s="12"/>
      <c r="P298" s="12"/>
      <c r="Q298" s="12"/>
      <c r="R298" s="505"/>
    </row>
    <row r="299" spans="1:18" s="510" customFormat="1" ht="22.5" customHeight="1">
      <c r="A299" s="42"/>
      <c r="B299" s="22"/>
      <c r="C299" s="12"/>
      <c r="D299" s="22"/>
      <c r="E299" s="12"/>
      <c r="F299" s="12"/>
      <c r="G299" s="26"/>
      <c r="H299" s="26"/>
      <c r="I299" s="12"/>
      <c r="J299" s="648"/>
      <c r="K299" s="648"/>
      <c r="L299" s="12"/>
      <c r="M299" s="27"/>
      <c r="N299" s="12"/>
      <c r="O299" s="12"/>
      <c r="P299" s="12"/>
      <c r="Q299" s="12"/>
      <c r="R299" s="505"/>
    </row>
    <row r="300" spans="1:18" s="510" customFormat="1" ht="22.5" customHeight="1">
      <c r="A300" s="44"/>
      <c r="B300" s="22"/>
      <c r="C300" s="50"/>
      <c r="D300" s="22"/>
      <c r="E300" s="12"/>
      <c r="F300" s="12"/>
      <c r="G300" s="26"/>
      <c r="H300" s="26"/>
      <c r="I300" s="12"/>
      <c r="J300" s="648"/>
      <c r="K300" s="648"/>
      <c r="L300" s="12"/>
      <c r="M300" s="27"/>
      <c r="N300" s="12"/>
      <c r="O300" s="12"/>
      <c r="P300" s="12"/>
      <c r="Q300" s="12"/>
      <c r="R300" s="505"/>
    </row>
    <row r="301" spans="1:18" s="510" customFormat="1" ht="22.5" customHeight="1">
      <c r="A301" s="44"/>
      <c r="B301" s="22"/>
      <c r="C301" s="12"/>
      <c r="D301" s="22"/>
      <c r="E301" s="12"/>
      <c r="F301" s="12"/>
      <c r="G301" s="26"/>
      <c r="H301" s="26"/>
      <c r="I301" s="12"/>
      <c r="J301" s="648"/>
      <c r="K301" s="648"/>
      <c r="L301" s="12"/>
      <c r="M301" s="27"/>
      <c r="N301" s="12"/>
      <c r="O301" s="12"/>
      <c r="P301" s="12"/>
      <c r="Q301" s="12"/>
      <c r="R301" s="505"/>
    </row>
    <row r="302" spans="1:18" s="510" customFormat="1" ht="22.5" customHeight="1">
      <c r="A302" s="43"/>
      <c r="B302" s="22"/>
      <c r="C302" s="12"/>
      <c r="D302" s="22"/>
      <c r="E302" s="12"/>
      <c r="F302" s="12"/>
      <c r="G302" s="26"/>
      <c r="H302" s="26"/>
      <c r="I302" s="12"/>
      <c r="J302" s="648"/>
      <c r="K302" s="648"/>
      <c r="L302" s="12"/>
      <c r="M302" s="27"/>
      <c r="N302" s="12"/>
      <c r="O302" s="12"/>
      <c r="P302" s="12"/>
      <c r="Q302" s="12"/>
      <c r="R302" s="505"/>
    </row>
    <row r="303" spans="1:18" s="510" customFormat="1" ht="22.5" customHeight="1">
      <c r="A303" s="42"/>
      <c r="B303" s="22"/>
      <c r="C303" s="12"/>
      <c r="D303" s="22"/>
      <c r="E303" s="12"/>
      <c r="F303" s="12"/>
      <c r="G303" s="26"/>
      <c r="H303" s="26"/>
      <c r="I303" s="12"/>
      <c r="J303" s="648"/>
      <c r="K303" s="648"/>
      <c r="L303" s="12"/>
      <c r="M303" s="27"/>
      <c r="N303" s="12"/>
      <c r="O303" s="12"/>
      <c r="P303" s="12"/>
      <c r="Q303" s="12"/>
      <c r="R303" s="505"/>
    </row>
    <row r="304" spans="1:18" s="510" customFormat="1" ht="22.5" customHeight="1">
      <c r="A304" s="44"/>
      <c r="B304" s="22"/>
      <c r="C304" s="50"/>
      <c r="D304" s="22"/>
      <c r="E304" s="12"/>
      <c r="F304" s="12"/>
      <c r="G304" s="26"/>
      <c r="H304" s="26"/>
      <c r="I304" s="12"/>
      <c r="J304" s="648"/>
      <c r="K304" s="648"/>
      <c r="L304" s="12"/>
      <c r="M304" s="27"/>
      <c r="N304" s="12"/>
      <c r="O304" s="12"/>
      <c r="P304" s="12"/>
      <c r="Q304" s="12"/>
      <c r="R304" s="505"/>
    </row>
    <row r="305" spans="1:18" s="510" customFormat="1" ht="22.5" customHeight="1">
      <c r="A305" s="44"/>
      <c r="B305" s="22"/>
      <c r="C305" s="12"/>
      <c r="D305" s="22"/>
      <c r="E305" s="12"/>
      <c r="F305" s="12"/>
      <c r="G305" s="26"/>
      <c r="H305" s="26"/>
      <c r="I305" s="12"/>
      <c r="J305" s="648"/>
      <c r="K305" s="648"/>
      <c r="L305" s="12"/>
      <c r="M305" s="27"/>
      <c r="N305" s="12"/>
      <c r="O305" s="12"/>
      <c r="P305" s="12"/>
      <c r="Q305" s="12"/>
      <c r="R305" s="505"/>
    </row>
  </sheetData>
  <printOptions gridLines="1" horizontalCentered="1"/>
  <pageMargins left="0.5" right="0.5" top="1" bottom="0.5" header="0.5" footer="0.5"/>
  <pageSetup orientation="landscape" pageOrder="overThenDown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3"/>
  <sheetViews>
    <sheetView zoomScale="190" zoomScaleNormal="19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8515625" defaultRowHeight="22.5" customHeight="1"/>
  <cols>
    <col min="1" max="1" width="7.28125" style="22" customWidth="1"/>
    <col min="2" max="2" width="9.8515625" style="12" customWidth="1"/>
    <col min="3" max="3" width="17.28125" style="636" customWidth="1"/>
    <col min="4" max="5" width="10.00390625" style="12" customWidth="1"/>
    <col min="6" max="6" width="12.00390625" style="26" customWidth="1"/>
    <col min="7" max="7" width="14.140625" style="510" customWidth="1"/>
    <col min="8" max="8" width="12.00390625" style="12" customWidth="1"/>
    <col min="9" max="9" width="12.421875" style="15" customWidth="1"/>
    <col min="10" max="10" width="6.00390625" style="15" customWidth="1"/>
    <col min="11" max="11" width="11.8515625" style="12" customWidth="1"/>
    <col min="12" max="12" width="13.140625" style="27" customWidth="1"/>
    <col min="13" max="13" width="13.140625" style="12" customWidth="1"/>
    <col min="14" max="14" width="11.7109375" style="12" customWidth="1"/>
    <col min="15" max="15" width="14.28125" style="12" customWidth="1"/>
    <col min="16" max="16" width="12.00390625" style="12" customWidth="1"/>
    <col min="17" max="17" width="11.7109375" style="505" customWidth="1"/>
    <col min="18" max="16384" width="8.8515625" style="12" customWidth="1"/>
  </cols>
  <sheetData>
    <row r="1" spans="3:16" ht="22.5" customHeight="1">
      <c r="C1" s="6"/>
      <c r="D1" s="5" t="s">
        <v>4</v>
      </c>
      <c r="E1" s="503" t="s">
        <v>341</v>
      </c>
      <c r="F1" s="1" t="s">
        <v>345</v>
      </c>
      <c r="H1" s="492" t="s">
        <v>168</v>
      </c>
      <c r="I1" s="8" t="s">
        <v>346</v>
      </c>
      <c r="J1" s="581" t="s">
        <v>62</v>
      </c>
      <c r="K1" s="5" t="s">
        <v>17</v>
      </c>
      <c r="L1" s="10" t="s">
        <v>18</v>
      </c>
      <c r="M1" s="5" t="s">
        <v>19</v>
      </c>
      <c r="N1" s="5" t="s">
        <v>57</v>
      </c>
      <c r="O1" s="11" t="s">
        <v>56</v>
      </c>
      <c r="P1" s="5"/>
    </row>
    <row r="2" spans="1:16" ht="22.5" customHeight="1">
      <c r="A2" s="22" t="s">
        <v>198</v>
      </c>
      <c r="B2" s="22" t="s">
        <v>198</v>
      </c>
      <c r="C2" s="22" t="s">
        <v>255</v>
      </c>
      <c r="D2" s="13" t="s">
        <v>5</v>
      </c>
      <c r="E2" s="13" t="s">
        <v>324</v>
      </c>
      <c r="F2" s="9" t="s">
        <v>258</v>
      </c>
      <c r="G2" s="509" t="s">
        <v>221</v>
      </c>
      <c r="H2" s="14">
        <f>Ctrl!I2</f>
        <v>11.666</v>
      </c>
      <c r="I2" s="9" t="s">
        <v>240</v>
      </c>
      <c r="J2" s="692">
        <f>Ctrl!K2</f>
        <v>50000</v>
      </c>
      <c r="K2" s="16">
        <f>Ctrl!L2</f>
        <v>0.03</v>
      </c>
      <c r="L2" s="16">
        <f>Ctrl!M2</f>
        <v>0.017</v>
      </c>
      <c r="M2" s="16">
        <f>Ctrl!N2</f>
        <v>0.016</v>
      </c>
      <c r="N2" s="16">
        <f>Ctrl!O2</f>
        <v>0.003</v>
      </c>
      <c r="O2" s="16">
        <f>Ctrl!P2</f>
        <v>0.1285</v>
      </c>
      <c r="P2" s="5"/>
    </row>
    <row r="3" spans="1:16" ht="22.5" customHeight="1">
      <c r="A3" s="22" t="s">
        <v>256</v>
      </c>
      <c r="B3" s="22" t="s">
        <v>257</v>
      </c>
      <c r="C3" s="22" t="s">
        <v>344</v>
      </c>
      <c r="D3" s="5" t="s">
        <v>187</v>
      </c>
      <c r="E3" s="85" t="s">
        <v>61</v>
      </c>
      <c r="F3" s="9" t="s">
        <v>115</v>
      </c>
      <c r="G3" s="509" t="s">
        <v>3</v>
      </c>
      <c r="H3" s="5" t="s">
        <v>169</v>
      </c>
      <c r="I3" s="9" t="s">
        <v>16</v>
      </c>
      <c r="J3" s="692" t="s">
        <v>63</v>
      </c>
      <c r="K3" s="18" t="s">
        <v>12</v>
      </c>
      <c r="L3" s="18" t="s">
        <v>12</v>
      </c>
      <c r="M3" s="18" t="s">
        <v>14</v>
      </c>
      <c r="N3" s="18" t="s">
        <v>12</v>
      </c>
      <c r="O3" s="16" t="s">
        <v>13</v>
      </c>
      <c r="P3" s="6"/>
    </row>
    <row r="4" spans="1:16" ht="22.5" customHeight="1">
      <c r="A4" s="70">
        <v>1</v>
      </c>
      <c r="B4" s="71">
        <v>7116</v>
      </c>
      <c r="C4" s="620" t="s">
        <v>407</v>
      </c>
      <c r="D4" s="574">
        <v>950</v>
      </c>
      <c r="E4" s="87" t="s">
        <v>331</v>
      </c>
      <c r="F4" s="80">
        <v>925</v>
      </c>
      <c r="G4" s="652">
        <f aca="true" t="shared" si="0" ref="G4:G67">H4-K4+L4-M4-N4-O4</f>
        <v>3901.520075</v>
      </c>
      <c r="H4" s="19">
        <f aca="true" t="shared" si="1" ref="H4:H67">F4*$H$2</f>
        <v>10791.050000000001</v>
      </c>
      <c r="I4" s="19">
        <f>Ctrl!$J$4</f>
        <v>171965</v>
      </c>
      <c r="J4" s="19"/>
      <c r="K4" s="21">
        <f aca="true" t="shared" si="2" ref="K4:K67">$K$2*I4</f>
        <v>5158.95</v>
      </c>
      <c r="L4" s="21">
        <f aca="true" t="shared" si="3" ref="L4:L67">$L$2*I4</f>
        <v>2923.405</v>
      </c>
      <c r="M4" s="21">
        <f aca="true" t="shared" si="4" ref="M4:M67">$M$2*I4</f>
        <v>2751.44</v>
      </c>
      <c r="N4" s="19">
        <f aca="true" t="shared" si="5" ref="N4:N35">$N$2*I4</f>
        <v>515.895</v>
      </c>
      <c r="O4" s="505">
        <f aca="true" t="shared" si="6" ref="O4:O67">$O$2*H4</f>
        <v>1386.6499250000002</v>
      </c>
      <c r="P4" s="505"/>
    </row>
    <row r="5" spans="1:17" ht="22.5" customHeight="1">
      <c r="A5" s="70">
        <v>1</v>
      </c>
      <c r="B5" s="71">
        <v>7116</v>
      </c>
      <c r="C5" s="70" t="s">
        <v>70</v>
      </c>
      <c r="D5" s="574">
        <v>1380</v>
      </c>
      <c r="E5" s="87" t="s">
        <v>331</v>
      </c>
      <c r="F5" s="80">
        <v>1175</v>
      </c>
      <c r="G5" s="652">
        <f t="shared" si="0"/>
        <v>4940.081825000001</v>
      </c>
      <c r="H5" s="19">
        <f t="shared" si="1"/>
        <v>13707.550000000001</v>
      </c>
      <c r="I5" s="19">
        <f>Ctrl!$J$6</f>
        <v>218939</v>
      </c>
      <c r="J5" s="19"/>
      <c r="K5" s="21">
        <f t="shared" si="2"/>
        <v>6568.17</v>
      </c>
      <c r="L5" s="21">
        <f t="shared" si="3"/>
        <v>3721.963</v>
      </c>
      <c r="M5" s="21">
        <f t="shared" si="4"/>
        <v>3503.024</v>
      </c>
      <c r="N5" s="19">
        <f t="shared" si="5"/>
        <v>656.817</v>
      </c>
      <c r="O5" s="505">
        <f t="shared" si="6"/>
        <v>1761.4201750000002</v>
      </c>
      <c r="P5" s="508"/>
      <c r="Q5" s="506"/>
    </row>
    <row r="6" spans="1:16" ht="22.5" customHeight="1">
      <c r="A6" s="70">
        <v>1</v>
      </c>
      <c r="B6" s="71">
        <v>7116</v>
      </c>
      <c r="C6" s="620" t="s">
        <v>367</v>
      </c>
      <c r="D6" s="574">
        <v>1825</v>
      </c>
      <c r="E6" s="87" t="s">
        <v>331</v>
      </c>
      <c r="F6" s="80">
        <v>1425</v>
      </c>
      <c r="G6" s="80">
        <f t="shared" si="0"/>
        <v>6494.323575000001</v>
      </c>
      <c r="H6" s="19">
        <f t="shared" si="1"/>
        <v>16624.05</v>
      </c>
      <c r="I6" s="19">
        <f>Ctrl!$J$8</f>
        <v>249798</v>
      </c>
      <c r="J6" s="19"/>
      <c r="K6" s="21">
        <f t="shared" si="2"/>
        <v>7493.94</v>
      </c>
      <c r="L6" s="21">
        <f t="shared" si="3"/>
        <v>4246.566000000001</v>
      </c>
      <c r="M6" s="21">
        <f t="shared" si="4"/>
        <v>3996.768</v>
      </c>
      <c r="N6" s="19">
        <f t="shared" si="5"/>
        <v>749.394</v>
      </c>
      <c r="O6" s="505">
        <f t="shared" si="6"/>
        <v>2136.190425</v>
      </c>
      <c r="P6" s="505"/>
    </row>
    <row r="7" spans="1:16" ht="22.5" customHeight="1">
      <c r="A7" s="70">
        <v>1</v>
      </c>
      <c r="B7" s="71">
        <v>7116</v>
      </c>
      <c r="C7" s="620" t="s">
        <v>370</v>
      </c>
      <c r="D7" s="574">
        <v>2525</v>
      </c>
      <c r="E7" s="87" t="s">
        <v>331</v>
      </c>
      <c r="F7" s="80">
        <v>1475</v>
      </c>
      <c r="G7" s="652">
        <f t="shared" si="0"/>
        <v>4664.2695250000015</v>
      </c>
      <c r="H7" s="19">
        <f t="shared" si="1"/>
        <v>17207.350000000002</v>
      </c>
      <c r="I7" s="19">
        <f>Ctrl!$J$10</f>
        <v>322873</v>
      </c>
      <c r="J7" s="19"/>
      <c r="K7" s="21">
        <f t="shared" si="2"/>
        <v>9686.19</v>
      </c>
      <c r="L7" s="21">
        <f t="shared" si="3"/>
        <v>5488.841</v>
      </c>
      <c r="M7" s="21">
        <f t="shared" si="4"/>
        <v>5165.968</v>
      </c>
      <c r="N7" s="19">
        <f t="shared" si="5"/>
        <v>968.619</v>
      </c>
      <c r="O7" s="505">
        <f t="shared" si="6"/>
        <v>2211.1444750000005</v>
      </c>
      <c r="P7" s="505"/>
    </row>
    <row r="8" spans="1:16" ht="22.5" customHeight="1">
      <c r="A8" s="70">
        <v>1</v>
      </c>
      <c r="B8" s="71">
        <v>7116</v>
      </c>
      <c r="C8" s="621" t="s">
        <v>347</v>
      </c>
      <c r="D8" s="563">
        <v>3425</v>
      </c>
      <c r="E8" s="563" t="s">
        <v>37</v>
      </c>
      <c r="F8" s="524"/>
      <c r="G8" s="652"/>
      <c r="H8" s="19">
        <f t="shared" si="1"/>
        <v>0</v>
      </c>
      <c r="I8" s="19"/>
      <c r="J8" s="19"/>
      <c r="K8" s="21">
        <f t="shared" si="2"/>
        <v>0</v>
      </c>
      <c r="L8" s="21">
        <f t="shared" si="3"/>
        <v>0</v>
      </c>
      <c r="M8" s="21">
        <f t="shared" si="4"/>
        <v>0</v>
      </c>
      <c r="N8" s="19">
        <f t="shared" si="5"/>
        <v>0</v>
      </c>
      <c r="O8" s="505">
        <f t="shared" si="6"/>
        <v>0</v>
      </c>
      <c r="P8" s="505"/>
    </row>
    <row r="9" spans="1:16" ht="22.5" customHeight="1">
      <c r="A9" s="498">
        <v>2</v>
      </c>
      <c r="B9" s="499">
        <v>7116</v>
      </c>
      <c r="C9" s="622" t="s">
        <v>371</v>
      </c>
      <c r="D9" s="500">
        <v>950</v>
      </c>
      <c r="E9" s="501" t="s">
        <v>372</v>
      </c>
      <c r="F9" s="502">
        <v>925</v>
      </c>
      <c r="G9" s="653">
        <f t="shared" si="0"/>
        <v>3901.520075</v>
      </c>
      <c r="H9" s="19">
        <f t="shared" si="1"/>
        <v>10791.050000000001</v>
      </c>
      <c r="I9" s="511">
        <f>Ctrl!$J$4</f>
        <v>171965</v>
      </c>
      <c r="J9" s="19"/>
      <c r="K9" s="21">
        <f t="shared" si="2"/>
        <v>5158.95</v>
      </c>
      <c r="L9" s="21">
        <f t="shared" si="3"/>
        <v>2923.405</v>
      </c>
      <c r="M9" s="21">
        <f t="shared" si="4"/>
        <v>2751.44</v>
      </c>
      <c r="N9" s="19">
        <f t="shared" si="5"/>
        <v>515.895</v>
      </c>
      <c r="O9" s="505">
        <f t="shared" si="6"/>
        <v>1386.6499250000002</v>
      </c>
      <c r="P9" s="505"/>
    </row>
    <row r="10" spans="1:16" ht="22.5" customHeight="1">
      <c r="A10" s="498">
        <v>2</v>
      </c>
      <c r="B10" s="499">
        <v>7116</v>
      </c>
      <c r="C10" s="606" t="s">
        <v>271</v>
      </c>
      <c r="D10" s="521">
        <v>1380</v>
      </c>
      <c r="E10" s="521" t="s">
        <v>270</v>
      </c>
      <c r="F10" s="502"/>
      <c r="G10" s="653"/>
      <c r="H10" s="19">
        <f t="shared" si="1"/>
        <v>0</v>
      </c>
      <c r="I10" s="19"/>
      <c r="J10" s="19"/>
      <c r="K10" s="21">
        <f t="shared" si="2"/>
        <v>0</v>
      </c>
      <c r="L10" s="21">
        <f t="shared" si="3"/>
        <v>0</v>
      </c>
      <c r="M10" s="21">
        <f t="shared" si="4"/>
        <v>0</v>
      </c>
      <c r="N10" s="19">
        <f t="shared" si="5"/>
        <v>0</v>
      </c>
      <c r="O10" s="505">
        <f t="shared" si="6"/>
        <v>0</v>
      </c>
      <c r="P10" s="505"/>
    </row>
    <row r="11" spans="1:16" ht="22.5" customHeight="1">
      <c r="A11" s="498">
        <v>2</v>
      </c>
      <c r="B11" s="499">
        <v>7116</v>
      </c>
      <c r="C11" s="622" t="s">
        <v>373</v>
      </c>
      <c r="D11" s="500">
        <v>1825</v>
      </c>
      <c r="E11" s="500" t="s">
        <v>90</v>
      </c>
      <c r="F11" s="502">
        <v>1425</v>
      </c>
      <c r="G11" s="502">
        <f t="shared" si="0"/>
        <v>6494.323575000001</v>
      </c>
      <c r="H11" s="19">
        <f t="shared" si="1"/>
        <v>16624.05</v>
      </c>
      <c r="I11" s="511">
        <f>Ctrl!$J$8</f>
        <v>249798</v>
      </c>
      <c r="J11" s="19"/>
      <c r="K11" s="21">
        <f t="shared" si="2"/>
        <v>7493.94</v>
      </c>
      <c r="L11" s="21">
        <f t="shared" si="3"/>
        <v>4246.566000000001</v>
      </c>
      <c r="M11" s="21">
        <f t="shared" si="4"/>
        <v>3996.768</v>
      </c>
      <c r="N11" s="19">
        <f t="shared" si="5"/>
        <v>749.394</v>
      </c>
      <c r="O11" s="505">
        <f t="shared" si="6"/>
        <v>2136.190425</v>
      </c>
      <c r="P11" s="505"/>
    </row>
    <row r="12" spans="1:17" ht="22.5" customHeight="1">
      <c r="A12" s="498">
        <v>2</v>
      </c>
      <c r="B12" s="499">
        <v>7116</v>
      </c>
      <c r="C12" s="498" t="s">
        <v>374</v>
      </c>
      <c r="D12" s="500">
        <v>2525</v>
      </c>
      <c r="E12" s="500" t="s">
        <v>90</v>
      </c>
      <c r="F12" s="502">
        <v>1475</v>
      </c>
      <c r="G12" s="653">
        <f t="shared" si="0"/>
        <v>4664.2695250000015</v>
      </c>
      <c r="H12" s="19">
        <f t="shared" si="1"/>
        <v>17207.350000000002</v>
      </c>
      <c r="I12" s="511">
        <f>Ctrl!$J$10</f>
        <v>322873</v>
      </c>
      <c r="J12" s="19"/>
      <c r="K12" s="21">
        <f t="shared" si="2"/>
        <v>9686.19</v>
      </c>
      <c r="L12" s="21">
        <f t="shared" si="3"/>
        <v>5488.841</v>
      </c>
      <c r="M12" s="21">
        <f t="shared" si="4"/>
        <v>5165.968</v>
      </c>
      <c r="N12" s="19">
        <f t="shared" si="5"/>
        <v>968.619</v>
      </c>
      <c r="O12" s="505">
        <f t="shared" si="6"/>
        <v>2211.1444750000005</v>
      </c>
      <c r="P12" s="508"/>
      <c r="Q12" s="506"/>
    </row>
    <row r="13" spans="1:16" ht="22.5" customHeight="1">
      <c r="A13" s="498">
        <v>2</v>
      </c>
      <c r="B13" s="499">
        <v>7116</v>
      </c>
      <c r="C13" s="623" t="s">
        <v>347</v>
      </c>
      <c r="D13" s="562">
        <v>3425</v>
      </c>
      <c r="E13" s="562" t="s">
        <v>266</v>
      </c>
      <c r="F13" s="502"/>
      <c r="G13" s="653"/>
      <c r="H13" s="19">
        <f t="shared" si="1"/>
        <v>0</v>
      </c>
      <c r="I13" s="19">
        <f>Ctrl!$J$12</f>
        <v>414149</v>
      </c>
      <c r="J13" s="19"/>
      <c r="K13" s="21">
        <f t="shared" si="2"/>
        <v>12424.47</v>
      </c>
      <c r="L13" s="21">
        <f t="shared" si="3"/>
        <v>7040.533</v>
      </c>
      <c r="M13" s="21">
        <f t="shared" si="4"/>
        <v>6626.384</v>
      </c>
      <c r="N13" s="19">
        <f t="shared" si="5"/>
        <v>1242.4470000000001</v>
      </c>
      <c r="O13" s="505">
        <f t="shared" si="6"/>
        <v>0</v>
      </c>
      <c r="P13" s="505"/>
    </row>
    <row r="14" spans="1:16" ht="22.5" customHeight="1">
      <c r="A14" s="36">
        <v>3</v>
      </c>
      <c r="B14" s="55">
        <v>7116</v>
      </c>
      <c r="C14" s="624" t="s">
        <v>210</v>
      </c>
      <c r="D14" s="57">
        <v>950</v>
      </c>
      <c r="E14" s="57" t="s">
        <v>211</v>
      </c>
      <c r="F14" s="77">
        <v>875</v>
      </c>
      <c r="G14" s="654">
        <f t="shared" si="0"/>
        <v>3393.1741249999986</v>
      </c>
      <c r="H14" s="19">
        <f t="shared" si="1"/>
        <v>10207.75</v>
      </c>
      <c r="I14" s="511">
        <f>Ctrl!$J$4</f>
        <v>171965</v>
      </c>
      <c r="J14" s="19"/>
      <c r="K14" s="21">
        <f t="shared" si="2"/>
        <v>5158.95</v>
      </c>
      <c r="L14" s="21">
        <f t="shared" si="3"/>
        <v>2923.405</v>
      </c>
      <c r="M14" s="21">
        <f t="shared" si="4"/>
        <v>2751.44</v>
      </c>
      <c r="N14" s="19">
        <f t="shared" si="5"/>
        <v>515.895</v>
      </c>
      <c r="O14" s="505">
        <f t="shared" si="6"/>
        <v>1311.6958750000001</v>
      </c>
      <c r="P14" s="505"/>
    </row>
    <row r="15" spans="1:17" ht="22.5" customHeight="1">
      <c r="A15" s="36">
        <v>3</v>
      </c>
      <c r="B15" s="55">
        <v>7116</v>
      </c>
      <c r="C15" s="36" t="s">
        <v>212</v>
      </c>
      <c r="D15" s="57">
        <v>1380</v>
      </c>
      <c r="E15" s="57" t="s">
        <v>211</v>
      </c>
      <c r="F15" s="77">
        <v>1125</v>
      </c>
      <c r="G15" s="654">
        <f t="shared" si="0"/>
        <v>4431.735875</v>
      </c>
      <c r="H15" s="19">
        <f t="shared" si="1"/>
        <v>13124.25</v>
      </c>
      <c r="I15" s="511">
        <f>Ctrl!$J$6</f>
        <v>218939</v>
      </c>
      <c r="J15" s="19"/>
      <c r="K15" s="21">
        <f t="shared" si="2"/>
        <v>6568.17</v>
      </c>
      <c r="L15" s="21">
        <f t="shared" si="3"/>
        <v>3721.963</v>
      </c>
      <c r="M15" s="21">
        <f t="shared" si="4"/>
        <v>3503.024</v>
      </c>
      <c r="N15" s="19">
        <f t="shared" si="5"/>
        <v>656.817</v>
      </c>
      <c r="O15" s="505">
        <f t="shared" si="6"/>
        <v>1686.4661250000001</v>
      </c>
      <c r="P15" s="508"/>
      <c r="Q15" s="506"/>
    </row>
    <row r="16" spans="1:16" ht="22.5" customHeight="1">
      <c r="A16" s="36">
        <v>3</v>
      </c>
      <c r="B16" s="55">
        <v>7116</v>
      </c>
      <c r="C16" s="624" t="s">
        <v>373</v>
      </c>
      <c r="D16" s="57">
        <v>1825</v>
      </c>
      <c r="E16" s="57" t="s">
        <v>211</v>
      </c>
      <c r="F16" s="77">
        <v>1375</v>
      </c>
      <c r="G16" s="77">
        <f t="shared" si="0"/>
        <v>5985.977625000001</v>
      </c>
      <c r="H16" s="19">
        <f t="shared" si="1"/>
        <v>16040.75</v>
      </c>
      <c r="I16" s="511">
        <f>Ctrl!$J$8</f>
        <v>249798</v>
      </c>
      <c r="J16" s="19"/>
      <c r="K16" s="21">
        <f t="shared" si="2"/>
        <v>7493.94</v>
      </c>
      <c r="L16" s="21">
        <f t="shared" si="3"/>
        <v>4246.566000000001</v>
      </c>
      <c r="M16" s="21">
        <f t="shared" si="4"/>
        <v>3996.768</v>
      </c>
      <c r="N16" s="19">
        <f t="shared" si="5"/>
        <v>749.394</v>
      </c>
      <c r="O16" s="505">
        <f t="shared" si="6"/>
        <v>2061.236375</v>
      </c>
      <c r="P16" s="505"/>
    </row>
    <row r="17" spans="1:16" ht="22.5" customHeight="1">
      <c r="A17" s="36">
        <v>3</v>
      </c>
      <c r="B17" s="55">
        <v>7116</v>
      </c>
      <c r="C17" s="624" t="s">
        <v>374</v>
      </c>
      <c r="D17" s="57">
        <v>2525</v>
      </c>
      <c r="E17" s="57" t="s">
        <v>211</v>
      </c>
      <c r="F17" s="77">
        <v>1425</v>
      </c>
      <c r="G17" s="654">
        <f t="shared" si="0"/>
        <v>4155.923575</v>
      </c>
      <c r="H17" s="19">
        <f t="shared" si="1"/>
        <v>16624.05</v>
      </c>
      <c r="I17" s="511">
        <f>Ctrl!$J$10</f>
        <v>322873</v>
      </c>
      <c r="J17" s="19"/>
      <c r="K17" s="21">
        <f t="shared" si="2"/>
        <v>9686.19</v>
      </c>
      <c r="L17" s="21">
        <f t="shared" si="3"/>
        <v>5488.841</v>
      </c>
      <c r="M17" s="21">
        <f t="shared" si="4"/>
        <v>5165.968</v>
      </c>
      <c r="N17" s="19">
        <f t="shared" si="5"/>
        <v>968.619</v>
      </c>
      <c r="O17" s="505">
        <f t="shared" si="6"/>
        <v>2136.190425</v>
      </c>
      <c r="P17" s="505"/>
    </row>
    <row r="18" spans="1:16" ht="22.5" customHeight="1">
      <c r="A18" s="31">
        <v>3</v>
      </c>
      <c r="B18" s="564">
        <v>7116</v>
      </c>
      <c r="C18" s="625" t="s">
        <v>347</v>
      </c>
      <c r="D18" s="523">
        <v>3425</v>
      </c>
      <c r="E18" s="523" t="s">
        <v>418</v>
      </c>
      <c r="F18" s="565"/>
      <c r="G18" s="511"/>
      <c r="H18" s="19">
        <f t="shared" si="1"/>
        <v>0</v>
      </c>
      <c r="I18" s="511">
        <f>Ctrl!$J$12</f>
        <v>414149</v>
      </c>
      <c r="J18" s="19"/>
      <c r="K18" s="21">
        <f t="shared" si="2"/>
        <v>12424.47</v>
      </c>
      <c r="L18" s="21">
        <f t="shared" si="3"/>
        <v>7040.533</v>
      </c>
      <c r="M18" s="21">
        <f t="shared" si="4"/>
        <v>6626.384</v>
      </c>
      <c r="N18" s="19">
        <f t="shared" si="5"/>
        <v>1242.4470000000001</v>
      </c>
      <c r="O18" s="505">
        <f t="shared" si="6"/>
        <v>0</v>
      </c>
      <c r="P18" s="505"/>
    </row>
    <row r="19" spans="1:16" ht="22.5" customHeight="1">
      <c r="A19" s="39">
        <v>4</v>
      </c>
      <c r="B19" s="51">
        <v>7116</v>
      </c>
      <c r="C19" s="633" t="s">
        <v>213</v>
      </c>
      <c r="D19" s="58">
        <v>950</v>
      </c>
      <c r="E19" s="58" t="s">
        <v>214</v>
      </c>
      <c r="F19" s="99">
        <v>950</v>
      </c>
      <c r="G19" s="586">
        <f t="shared" si="0"/>
        <v>4155.69305</v>
      </c>
      <c r="H19" s="19">
        <f t="shared" si="1"/>
        <v>11082.7</v>
      </c>
      <c r="I19" s="511">
        <f>Ctrl!$J$4</f>
        <v>171965</v>
      </c>
      <c r="J19" s="19"/>
      <c r="K19" s="21">
        <f t="shared" si="2"/>
        <v>5158.95</v>
      </c>
      <c r="L19" s="21">
        <f t="shared" si="3"/>
        <v>2923.405</v>
      </c>
      <c r="M19" s="21">
        <f t="shared" si="4"/>
        <v>2751.44</v>
      </c>
      <c r="N19" s="19">
        <f t="shared" si="5"/>
        <v>515.895</v>
      </c>
      <c r="O19" s="505">
        <f t="shared" si="6"/>
        <v>1424.12695</v>
      </c>
      <c r="P19" s="505"/>
    </row>
    <row r="20" spans="1:16" ht="22.5" customHeight="1">
      <c r="A20" s="39">
        <v>4</v>
      </c>
      <c r="B20" s="51">
        <v>7116</v>
      </c>
      <c r="C20" s="626" t="s">
        <v>215</v>
      </c>
      <c r="D20" s="522">
        <v>1380</v>
      </c>
      <c r="E20" s="522" t="s">
        <v>214</v>
      </c>
      <c r="F20" s="406"/>
      <c r="G20" s="586"/>
      <c r="H20" s="19">
        <f t="shared" si="1"/>
        <v>0</v>
      </c>
      <c r="I20" s="19"/>
      <c r="J20" s="19"/>
      <c r="K20" s="21">
        <f t="shared" si="2"/>
        <v>0</v>
      </c>
      <c r="L20" s="21">
        <f t="shared" si="3"/>
        <v>0</v>
      </c>
      <c r="M20" s="21">
        <f t="shared" si="4"/>
        <v>0</v>
      </c>
      <c r="N20" s="19">
        <f t="shared" si="5"/>
        <v>0</v>
      </c>
      <c r="O20" s="505">
        <f t="shared" si="6"/>
        <v>0</v>
      </c>
      <c r="P20" s="505"/>
    </row>
    <row r="21" spans="1:16" ht="22.5" customHeight="1">
      <c r="A21" s="39">
        <v>4</v>
      </c>
      <c r="B21" s="51">
        <v>7116</v>
      </c>
      <c r="C21" s="633" t="s">
        <v>358</v>
      </c>
      <c r="D21" s="58">
        <v>1825</v>
      </c>
      <c r="E21" s="58" t="s">
        <v>214</v>
      </c>
      <c r="F21" s="99">
        <v>1450</v>
      </c>
      <c r="G21" s="617">
        <f t="shared" si="0"/>
        <v>6748.496550000002</v>
      </c>
      <c r="H21" s="19">
        <f t="shared" si="1"/>
        <v>16915.7</v>
      </c>
      <c r="I21" s="511">
        <f>Ctrl!$J$8</f>
        <v>249798</v>
      </c>
      <c r="J21" s="19"/>
      <c r="K21" s="21">
        <f t="shared" si="2"/>
        <v>7493.94</v>
      </c>
      <c r="L21" s="21">
        <f t="shared" si="3"/>
        <v>4246.566000000001</v>
      </c>
      <c r="M21" s="21">
        <f t="shared" si="4"/>
        <v>3996.768</v>
      </c>
      <c r="N21" s="19">
        <f t="shared" si="5"/>
        <v>749.394</v>
      </c>
      <c r="O21" s="505">
        <f t="shared" si="6"/>
        <v>2173.6674500000004</v>
      </c>
      <c r="P21" s="505"/>
    </row>
    <row r="22" spans="1:17" ht="22.5" customHeight="1">
      <c r="A22" s="39">
        <v>4</v>
      </c>
      <c r="B22" s="51">
        <v>7116</v>
      </c>
      <c r="C22" s="39" t="s">
        <v>359</v>
      </c>
      <c r="D22" s="58">
        <v>2525</v>
      </c>
      <c r="E22" s="58" t="s">
        <v>214</v>
      </c>
      <c r="F22" s="99">
        <v>1500</v>
      </c>
      <c r="G22" s="586">
        <f t="shared" si="0"/>
        <v>4918.4425</v>
      </c>
      <c r="H22" s="19">
        <f t="shared" si="1"/>
        <v>17499</v>
      </c>
      <c r="I22" s="511">
        <f>Ctrl!$J$10</f>
        <v>322873</v>
      </c>
      <c r="J22" s="19"/>
      <c r="K22" s="21">
        <f t="shared" si="2"/>
        <v>9686.19</v>
      </c>
      <c r="L22" s="21">
        <f t="shared" si="3"/>
        <v>5488.841</v>
      </c>
      <c r="M22" s="21">
        <f t="shared" si="4"/>
        <v>5165.968</v>
      </c>
      <c r="N22" s="19">
        <f t="shared" si="5"/>
        <v>968.619</v>
      </c>
      <c r="O22" s="505">
        <f t="shared" si="6"/>
        <v>2248.6215</v>
      </c>
      <c r="P22" s="508"/>
      <c r="Q22" s="506"/>
    </row>
    <row r="23" spans="1:16" ht="22.5" customHeight="1">
      <c r="A23" s="39">
        <v>4</v>
      </c>
      <c r="B23" s="51">
        <v>7116</v>
      </c>
      <c r="C23" s="626" t="s">
        <v>347</v>
      </c>
      <c r="D23" s="522">
        <v>3425</v>
      </c>
      <c r="E23" s="522" t="s">
        <v>0</v>
      </c>
      <c r="F23" s="406"/>
      <c r="G23" s="586"/>
      <c r="H23" s="19">
        <f t="shared" si="1"/>
        <v>0</v>
      </c>
      <c r="I23" s="19"/>
      <c r="J23" s="19"/>
      <c r="K23" s="21">
        <f t="shared" si="2"/>
        <v>0</v>
      </c>
      <c r="L23" s="21">
        <f t="shared" si="3"/>
        <v>0</v>
      </c>
      <c r="M23" s="21">
        <f t="shared" si="4"/>
        <v>0</v>
      </c>
      <c r="N23" s="19">
        <f t="shared" si="5"/>
        <v>0</v>
      </c>
      <c r="O23" s="505">
        <f t="shared" si="6"/>
        <v>0</v>
      </c>
      <c r="P23" s="505"/>
    </row>
    <row r="24" spans="1:16" ht="22.5" customHeight="1">
      <c r="A24" s="22">
        <v>5</v>
      </c>
      <c r="B24" s="37">
        <v>7116</v>
      </c>
      <c r="C24" s="627" t="s">
        <v>238</v>
      </c>
      <c r="D24" s="59">
        <v>950</v>
      </c>
      <c r="E24" s="59" t="s">
        <v>146</v>
      </c>
      <c r="F24" s="81">
        <v>975</v>
      </c>
      <c r="G24" s="656">
        <f t="shared" si="0"/>
        <v>4409.866024999999</v>
      </c>
      <c r="H24" s="19">
        <f t="shared" si="1"/>
        <v>11374.35</v>
      </c>
      <c r="I24" s="511">
        <f>Ctrl!$J$4</f>
        <v>171965</v>
      </c>
      <c r="J24" s="19"/>
      <c r="K24" s="21">
        <f t="shared" si="2"/>
        <v>5158.95</v>
      </c>
      <c r="L24" s="21">
        <f t="shared" si="3"/>
        <v>2923.405</v>
      </c>
      <c r="M24" s="21">
        <f t="shared" si="4"/>
        <v>2751.44</v>
      </c>
      <c r="N24" s="19">
        <f t="shared" si="5"/>
        <v>515.895</v>
      </c>
      <c r="O24" s="505">
        <f t="shared" si="6"/>
        <v>1461.603975</v>
      </c>
      <c r="P24" s="505"/>
    </row>
    <row r="25" spans="1:17" ht="22.5" customHeight="1">
      <c r="A25" s="22">
        <v>5</v>
      </c>
      <c r="B25" s="37">
        <v>7116</v>
      </c>
      <c r="C25" s="25" t="s">
        <v>264</v>
      </c>
      <c r="D25" s="59">
        <v>1380</v>
      </c>
      <c r="E25" s="59" t="s">
        <v>146</v>
      </c>
      <c r="F25" s="81">
        <v>1225</v>
      </c>
      <c r="G25" s="656">
        <f t="shared" si="0"/>
        <v>5448.427775</v>
      </c>
      <c r="H25" s="19">
        <f t="shared" si="1"/>
        <v>14290.85</v>
      </c>
      <c r="I25" s="511">
        <f>Ctrl!$J$6</f>
        <v>218939</v>
      </c>
      <c r="J25" s="19"/>
      <c r="K25" s="21">
        <f t="shared" si="2"/>
        <v>6568.17</v>
      </c>
      <c r="L25" s="21">
        <f t="shared" si="3"/>
        <v>3721.963</v>
      </c>
      <c r="M25" s="21">
        <f t="shared" si="4"/>
        <v>3503.024</v>
      </c>
      <c r="N25" s="19">
        <f t="shared" si="5"/>
        <v>656.817</v>
      </c>
      <c r="O25" s="505">
        <f t="shared" si="6"/>
        <v>1836.374225</v>
      </c>
      <c r="P25" s="508"/>
      <c r="Q25" s="506"/>
    </row>
    <row r="26" spans="1:16" ht="22.5" customHeight="1">
      <c r="A26" s="22">
        <v>5</v>
      </c>
      <c r="B26" s="37">
        <v>7116</v>
      </c>
      <c r="C26" s="627" t="s">
        <v>116</v>
      </c>
      <c r="D26" s="59">
        <v>1825</v>
      </c>
      <c r="E26" s="408" t="s">
        <v>146</v>
      </c>
      <c r="F26" s="81">
        <v>1475</v>
      </c>
      <c r="G26" s="81">
        <f t="shared" si="0"/>
        <v>7002.669525000003</v>
      </c>
      <c r="H26" s="19">
        <f t="shared" si="1"/>
        <v>17207.350000000002</v>
      </c>
      <c r="I26" s="511">
        <f>Ctrl!$J$8</f>
        <v>249798</v>
      </c>
      <c r="J26" s="19"/>
      <c r="K26" s="21">
        <f t="shared" si="2"/>
        <v>7493.94</v>
      </c>
      <c r="L26" s="21">
        <f t="shared" si="3"/>
        <v>4246.566000000001</v>
      </c>
      <c r="M26" s="21">
        <f t="shared" si="4"/>
        <v>3996.768</v>
      </c>
      <c r="N26" s="19">
        <f t="shared" si="5"/>
        <v>749.394</v>
      </c>
      <c r="O26" s="505">
        <f t="shared" si="6"/>
        <v>2211.1444750000005</v>
      </c>
      <c r="P26" s="505"/>
    </row>
    <row r="27" spans="1:16" ht="22.5" customHeight="1">
      <c r="A27" s="22">
        <v>5</v>
      </c>
      <c r="B27" s="53">
        <v>7116</v>
      </c>
      <c r="C27" s="627" t="s">
        <v>246</v>
      </c>
      <c r="D27" s="59">
        <v>2525</v>
      </c>
      <c r="E27" s="59" t="s">
        <v>146</v>
      </c>
      <c r="F27" s="81">
        <v>1525</v>
      </c>
      <c r="G27" s="656">
        <f t="shared" si="0"/>
        <v>5172.615475000002</v>
      </c>
      <c r="H27" s="19">
        <f t="shared" si="1"/>
        <v>17790.65</v>
      </c>
      <c r="I27" s="511">
        <f>Ctrl!$J$10</f>
        <v>322873</v>
      </c>
      <c r="J27" s="19"/>
      <c r="K27" s="21">
        <f t="shared" si="2"/>
        <v>9686.19</v>
      </c>
      <c r="L27" s="21">
        <f t="shared" si="3"/>
        <v>5488.841</v>
      </c>
      <c r="M27" s="21">
        <f t="shared" si="4"/>
        <v>5165.968</v>
      </c>
      <c r="N27" s="19">
        <f t="shared" si="5"/>
        <v>968.619</v>
      </c>
      <c r="O27" s="505">
        <f t="shared" si="6"/>
        <v>2286.0985250000003</v>
      </c>
      <c r="P27" s="505"/>
    </row>
    <row r="28" spans="1:16" ht="22.5" customHeight="1">
      <c r="A28" s="22">
        <v>5</v>
      </c>
      <c r="B28" s="53">
        <v>7116</v>
      </c>
      <c r="C28" s="625" t="s">
        <v>347</v>
      </c>
      <c r="D28" s="523">
        <v>3425</v>
      </c>
      <c r="E28" s="523" t="s">
        <v>146</v>
      </c>
      <c r="F28" s="81"/>
      <c r="G28" s="511"/>
      <c r="H28" s="19">
        <f t="shared" si="1"/>
        <v>0</v>
      </c>
      <c r="I28" s="511">
        <f>Ctrl!$J$12</f>
        <v>414149</v>
      </c>
      <c r="J28" s="19"/>
      <c r="K28" s="21">
        <f t="shared" si="2"/>
        <v>12424.47</v>
      </c>
      <c r="L28" s="21">
        <f t="shared" si="3"/>
        <v>7040.533</v>
      </c>
      <c r="M28" s="21">
        <f t="shared" si="4"/>
        <v>6626.384</v>
      </c>
      <c r="N28" s="19">
        <f t="shared" si="5"/>
        <v>1242.4470000000001</v>
      </c>
      <c r="O28" s="505">
        <f t="shared" si="6"/>
        <v>0</v>
      </c>
      <c r="P28" s="505"/>
    </row>
    <row r="29" spans="1:16" ht="22.5" customHeight="1">
      <c r="A29" s="70">
        <v>6</v>
      </c>
      <c r="B29" s="71">
        <v>10000</v>
      </c>
      <c r="C29" s="620" t="s">
        <v>31</v>
      </c>
      <c r="D29" s="574">
        <v>950</v>
      </c>
      <c r="E29" s="87" t="s">
        <v>37</v>
      </c>
      <c r="F29" s="80">
        <v>950</v>
      </c>
      <c r="G29" s="652">
        <f t="shared" si="0"/>
        <v>4155.69305</v>
      </c>
      <c r="H29" s="19">
        <f t="shared" si="1"/>
        <v>11082.7</v>
      </c>
      <c r="I29" s="511">
        <f>Ctrl!$J$4</f>
        <v>171965</v>
      </c>
      <c r="J29" s="19"/>
      <c r="K29" s="21">
        <f t="shared" si="2"/>
        <v>5158.95</v>
      </c>
      <c r="L29" s="21">
        <f t="shared" si="3"/>
        <v>2923.405</v>
      </c>
      <c r="M29" s="21">
        <f t="shared" si="4"/>
        <v>2751.44</v>
      </c>
      <c r="N29" s="19">
        <f t="shared" si="5"/>
        <v>515.895</v>
      </c>
      <c r="O29" s="505">
        <f t="shared" si="6"/>
        <v>1424.12695</v>
      </c>
      <c r="P29" s="505"/>
    </row>
    <row r="30" spans="1:16" ht="22.5" customHeight="1">
      <c r="A30" s="70">
        <v>6</v>
      </c>
      <c r="B30" s="71">
        <v>10000</v>
      </c>
      <c r="C30" s="70" t="s">
        <v>264</v>
      </c>
      <c r="D30" s="574">
        <v>1380</v>
      </c>
      <c r="E30" s="87" t="s">
        <v>37</v>
      </c>
      <c r="F30" s="80">
        <v>1200</v>
      </c>
      <c r="G30" s="652">
        <f t="shared" si="0"/>
        <v>5194.254800000001</v>
      </c>
      <c r="H30" s="19">
        <f t="shared" si="1"/>
        <v>13999.2</v>
      </c>
      <c r="I30" s="511">
        <f>Ctrl!$J$6</f>
        <v>218939</v>
      </c>
      <c r="J30" s="19"/>
      <c r="K30" s="21">
        <f t="shared" si="2"/>
        <v>6568.17</v>
      </c>
      <c r="L30" s="21">
        <f t="shared" si="3"/>
        <v>3721.963</v>
      </c>
      <c r="M30" s="21">
        <f t="shared" si="4"/>
        <v>3503.024</v>
      </c>
      <c r="N30" s="19">
        <f t="shared" si="5"/>
        <v>656.817</v>
      </c>
      <c r="O30" s="505">
        <f t="shared" si="6"/>
        <v>1798.8972</v>
      </c>
      <c r="P30" s="505"/>
    </row>
    <row r="31" spans="1:16" ht="22.5" customHeight="1">
      <c r="A31" s="70">
        <v>6</v>
      </c>
      <c r="B31" s="71">
        <v>10000</v>
      </c>
      <c r="C31" s="620" t="s">
        <v>116</v>
      </c>
      <c r="D31" s="574">
        <v>1825</v>
      </c>
      <c r="E31" s="87" t="s">
        <v>37</v>
      </c>
      <c r="F31" s="80">
        <v>1450</v>
      </c>
      <c r="G31" s="80">
        <f t="shared" si="0"/>
        <v>6748.496550000002</v>
      </c>
      <c r="H31" s="19">
        <f t="shared" si="1"/>
        <v>16915.7</v>
      </c>
      <c r="I31" s="511">
        <f>Ctrl!$J$8</f>
        <v>249798</v>
      </c>
      <c r="J31" s="19"/>
      <c r="K31" s="21">
        <f t="shared" si="2"/>
        <v>7493.94</v>
      </c>
      <c r="L31" s="21">
        <f t="shared" si="3"/>
        <v>4246.566000000001</v>
      </c>
      <c r="M31" s="21">
        <f t="shared" si="4"/>
        <v>3996.768</v>
      </c>
      <c r="N31" s="19">
        <f t="shared" si="5"/>
        <v>749.394</v>
      </c>
      <c r="O31" s="505">
        <f t="shared" si="6"/>
        <v>2173.6674500000004</v>
      </c>
      <c r="P31" s="505"/>
    </row>
    <row r="32" spans="1:16" ht="22.5" customHeight="1">
      <c r="A32" s="70">
        <v>6</v>
      </c>
      <c r="B32" s="71">
        <v>10000</v>
      </c>
      <c r="C32" s="620" t="s">
        <v>365</v>
      </c>
      <c r="D32" s="574">
        <v>2525</v>
      </c>
      <c r="E32" s="87" t="s">
        <v>37</v>
      </c>
      <c r="F32" s="80">
        <v>1525</v>
      </c>
      <c r="G32" s="652">
        <f t="shared" si="0"/>
        <v>5172.615475000002</v>
      </c>
      <c r="H32" s="19">
        <f t="shared" si="1"/>
        <v>17790.65</v>
      </c>
      <c r="I32" s="511">
        <f>Ctrl!$J$10</f>
        <v>322873</v>
      </c>
      <c r="J32" s="19"/>
      <c r="K32" s="21">
        <f t="shared" si="2"/>
        <v>9686.19</v>
      </c>
      <c r="L32" s="21">
        <f t="shared" si="3"/>
        <v>5488.841</v>
      </c>
      <c r="M32" s="21">
        <f t="shared" si="4"/>
        <v>5165.968</v>
      </c>
      <c r="N32" s="19">
        <f t="shared" si="5"/>
        <v>968.619</v>
      </c>
      <c r="O32" s="505">
        <f t="shared" si="6"/>
        <v>2286.0985250000003</v>
      </c>
      <c r="P32" s="505"/>
    </row>
    <row r="33" spans="1:16" ht="22.5" customHeight="1">
      <c r="A33" s="70">
        <v>6</v>
      </c>
      <c r="B33" s="71">
        <v>10000</v>
      </c>
      <c r="C33" s="620" t="s">
        <v>347</v>
      </c>
      <c r="D33" s="574">
        <v>3425</v>
      </c>
      <c r="E33" s="574" t="s">
        <v>37</v>
      </c>
      <c r="F33" s="80">
        <v>1800</v>
      </c>
      <c r="G33" s="652">
        <f t="shared" si="0"/>
        <v>5047.686200000001</v>
      </c>
      <c r="H33" s="19">
        <f t="shared" si="1"/>
        <v>20998.8</v>
      </c>
      <c r="I33" s="511">
        <f>Ctrl!$J$12</f>
        <v>414149</v>
      </c>
      <c r="J33" s="19"/>
      <c r="K33" s="21">
        <f t="shared" si="2"/>
        <v>12424.47</v>
      </c>
      <c r="L33" s="21">
        <f t="shared" si="3"/>
        <v>7040.533</v>
      </c>
      <c r="M33" s="21">
        <f t="shared" si="4"/>
        <v>6626.384</v>
      </c>
      <c r="N33" s="19">
        <f t="shared" si="5"/>
        <v>1242.4470000000001</v>
      </c>
      <c r="O33" s="505">
        <f t="shared" si="6"/>
        <v>2698.3458</v>
      </c>
      <c r="P33" s="505"/>
    </row>
    <row r="34" spans="1:16" ht="22.5" customHeight="1">
      <c r="A34" s="359">
        <v>7</v>
      </c>
      <c r="B34" s="360">
        <v>10000</v>
      </c>
      <c r="C34" s="628" t="s">
        <v>31</v>
      </c>
      <c r="D34" s="361">
        <v>950</v>
      </c>
      <c r="E34" s="86" t="s">
        <v>247</v>
      </c>
      <c r="F34" s="91">
        <v>950</v>
      </c>
      <c r="G34" s="657">
        <f t="shared" si="0"/>
        <v>4155.69305</v>
      </c>
      <c r="H34" s="19">
        <f t="shared" si="1"/>
        <v>11082.7</v>
      </c>
      <c r="I34" s="511">
        <f>Ctrl!$J$4</f>
        <v>171965</v>
      </c>
      <c r="J34" s="19"/>
      <c r="K34" s="21">
        <f t="shared" si="2"/>
        <v>5158.95</v>
      </c>
      <c r="L34" s="21">
        <f t="shared" si="3"/>
        <v>2923.405</v>
      </c>
      <c r="M34" s="21">
        <f t="shared" si="4"/>
        <v>2751.44</v>
      </c>
      <c r="N34" s="19">
        <f t="shared" si="5"/>
        <v>515.895</v>
      </c>
      <c r="O34" s="505">
        <f t="shared" si="6"/>
        <v>1424.12695</v>
      </c>
      <c r="P34" s="505"/>
    </row>
    <row r="35" spans="1:16" ht="22.5" customHeight="1">
      <c r="A35" s="359">
        <v>7</v>
      </c>
      <c r="B35" s="360">
        <v>10000</v>
      </c>
      <c r="C35" s="359" t="s">
        <v>264</v>
      </c>
      <c r="D35" s="361">
        <v>1380</v>
      </c>
      <c r="E35" s="86" t="s">
        <v>247</v>
      </c>
      <c r="F35" s="91">
        <v>1175</v>
      </c>
      <c r="G35" s="657">
        <f t="shared" si="0"/>
        <v>4940.081825000001</v>
      </c>
      <c r="H35" s="19">
        <f t="shared" si="1"/>
        <v>13707.550000000001</v>
      </c>
      <c r="I35" s="511">
        <f>Ctrl!$J$6</f>
        <v>218939</v>
      </c>
      <c r="J35" s="19"/>
      <c r="K35" s="21">
        <f t="shared" si="2"/>
        <v>6568.17</v>
      </c>
      <c r="L35" s="21">
        <f t="shared" si="3"/>
        <v>3721.963</v>
      </c>
      <c r="M35" s="21">
        <f t="shared" si="4"/>
        <v>3503.024</v>
      </c>
      <c r="N35" s="19">
        <f t="shared" si="5"/>
        <v>656.817</v>
      </c>
      <c r="O35" s="505">
        <f t="shared" si="6"/>
        <v>1761.4201750000002</v>
      </c>
      <c r="P35" s="505"/>
    </row>
    <row r="36" spans="1:16" ht="22.5" customHeight="1">
      <c r="A36" s="359">
        <v>7</v>
      </c>
      <c r="B36" s="643">
        <v>10000</v>
      </c>
      <c r="C36" s="628" t="s">
        <v>360</v>
      </c>
      <c r="D36" s="361">
        <v>1825</v>
      </c>
      <c r="E36" s="86" t="s">
        <v>247</v>
      </c>
      <c r="F36" s="91">
        <v>1425</v>
      </c>
      <c r="G36" s="91">
        <f t="shared" si="0"/>
        <v>6494.323575000001</v>
      </c>
      <c r="H36" s="19">
        <f t="shared" si="1"/>
        <v>16624.05</v>
      </c>
      <c r="I36" s="511">
        <f>Ctrl!$J$8</f>
        <v>249798</v>
      </c>
      <c r="J36" s="19"/>
      <c r="K36" s="21">
        <f t="shared" si="2"/>
        <v>7493.94</v>
      </c>
      <c r="L36" s="21">
        <f t="shared" si="3"/>
        <v>4246.566000000001</v>
      </c>
      <c r="M36" s="21">
        <f t="shared" si="4"/>
        <v>3996.768</v>
      </c>
      <c r="N36" s="19">
        <f aca="true" t="shared" si="7" ref="N36:N67">$N$2*I36</f>
        <v>749.394</v>
      </c>
      <c r="O36" s="505">
        <f t="shared" si="6"/>
        <v>2136.190425</v>
      </c>
      <c r="P36" s="505"/>
    </row>
    <row r="37" spans="1:16" ht="22.5" customHeight="1">
      <c r="A37" s="359">
        <v>7</v>
      </c>
      <c r="B37" s="643">
        <v>10000</v>
      </c>
      <c r="C37" s="83" t="s">
        <v>361</v>
      </c>
      <c r="D37" s="361">
        <v>2525</v>
      </c>
      <c r="E37" s="86" t="s">
        <v>247</v>
      </c>
      <c r="F37" s="91">
        <v>1500</v>
      </c>
      <c r="G37" s="657">
        <f t="shared" si="0"/>
        <v>4918.4425</v>
      </c>
      <c r="H37" s="19">
        <f t="shared" si="1"/>
        <v>17499</v>
      </c>
      <c r="I37" s="511">
        <f>Ctrl!$J$10</f>
        <v>322873</v>
      </c>
      <c r="J37" s="19"/>
      <c r="K37" s="21">
        <f t="shared" si="2"/>
        <v>9686.19</v>
      </c>
      <c r="L37" s="21">
        <f t="shared" si="3"/>
        <v>5488.841</v>
      </c>
      <c r="M37" s="21">
        <f t="shared" si="4"/>
        <v>5165.968</v>
      </c>
      <c r="N37" s="19">
        <f t="shared" si="7"/>
        <v>968.619</v>
      </c>
      <c r="O37" s="505">
        <f t="shared" si="6"/>
        <v>2248.6215</v>
      </c>
      <c r="P37" s="505"/>
    </row>
    <row r="38" spans="1:16" ht="22.5" customHeight="1">
      <c r="A38" s="359">
        <v>7</v>
      </c>
      <c r="B38" s="643">
        <v>10000</v>
      </c>
      <c r="C38" s="629" t="s">
        <v>362</v>
      </c>
      <c r="D38" s="361">
        <v>3425</v>
      </c>
      <c r="E38" s="86" t="s">
        <v>247</v>
      </c>
      <c r="F38" s="91">
        <v>1750</v>
      </c>
      <c r="G38" s="657">
        <f t="shared" si="0"/>
        <v>4539.340250000001</v>
      </c>
      <c r="H38" s="19">
        <f t="shared" si="1"/>
        <v>20415.5</v>
      </c>
      <c r="I38" s="511">
        <f>Ctrl!$J$12</f>
        <v>414149</v>
      </c>
      <c r="J38" s="19"/>
      <c r="K38" s="21">
        <f t="shared" si="2"/>
        <v>12424.47</v>
      </c>
      <c r="L38" s="21">
        <f t="shared" si="3"/>
        <v>7040.533</v>
      </c>
      <c r="M38" s="21">
        <f t="shared" si="4"/>
        <v>6626.384</v>
      </c>
      <c r="N38" s="19">
        <f t="shared" si="7"/>
        <v>1242.4470000000001</v>
      </c>
      <c r="O38" s="505">
        <f t="shared" si="6"/>
        <v>2623.3917500000002</v>
      </c>
      <c r="P38" s="505"/>
    </row>
    <row r="39" spans="1:16" ht="22.5" customHeight="1">
      <c r="A39" s="36">
        <v>8</v>
      </c>
      <c r="B39" s="55">
        <v>10000</v>
      </c>
      <c r="C39" s="624" t="s">
        <v>31</v>
      </c>
      <c r="D39" s="57">
        <v>950</v>
      </c>
      <c r="E39" s="57" t="s">
        <v>418</v>
      </c>
      <c r="F39" s="77">
        <v>900</v>
      </c>
      <c r="G39" s="654">
        <f t="shared" si="0"/>
        <v>3647.3470999999986</v>
      </c>
      <c r="H39" s="19">
        <f t="shared" si="1"/>
        <v>10499.4</v>
      </c>
      <c r="I39" s="511">
        <f>Ctrl!$J$4</f>
        <v>171965</v>
      </c>
      <c r="J39" s="19"/>
      <c r="K39" s="21">
        <f t="shared" si="2"/>
        <v>5158.95</v>
      </c>
      <c r="L39" s="21">
        <f t="shared" si="3"/>
        <v>2923.405</v>
      </c>
      <c r="M39" s="21">
        <f t="shared" si="4"/>
        <v>2751.44</v>
      </c>
      <c r="N39" s="19">
        <f t="shared" si="7"/>
        <v>515.895</v>
      </c>
      <c r="O39" s="505">
        <f t="shared" si="6"/>
        <v>1349.1729</v>
      </c>
      <c r="P39" s="505"/>
    </row>
    <row r="40" spans="1:16" ht="22.5" customHeight="1">
      <c r="A40" s="36">
        <v>8</v>
      </c>
      <c r="B40" s="55">
        <v>10000</v>
      </c>
      <c r="C40" s="36" t="s">
        <v>264</v>
      </c>
      <c r="D40" s="57">
        <v>1380</v>
      </c>
      <c r="E40" s="57" t="s">
        <v>418</v>
      </c>
      <c r="F40" s="78">
        <v>1150</v>
      </c>
      <c r="G40" s="654">
        <f t="shared" si="0"/>
        <v>4685.90885</v>
      </c>
      <c r="H40" s="19">
        <f t="shared" si="1"/>
        <v>13415.9</v>
      </c>
      <c r="I40" s="511">
        <f>Ctrl!$J$6</f>
        <v>218939</v>
      </c>
      <c r="J40" s="19"/>
      <c r="K40" s="21">
        <f t="shared" si="2"/>
        <v>6568.17</v>
      </c>
      <c r="L40" s="21">
        <f t="shared" si="3"/>
        <v>3721.963</v>
      </c>
      <c r="M40" s="21">
        <f t="shared" si="4"/>
        <v>3503.024</v>
      </c>
      <c r="N40" s="19">
        <f t="shared" si="7"/>
        <v>656.817</v>
      </c>
      <c r="O40" s="505">
        <f t="shared" si="6"/>
        <v>1723.94315</v>
      </c>
      <c r="P40" s="505"/>
    </row>
    <row r="41" spans="1:16" ht="22.5" customHeight="1">
      <c r="A41" s="36">
        <v>8</v>
      </c>
      <c r="B41" s="52">
        <v>10000</v>
      </c>
      <c r="C41" s="624" t="s">
        <v>116</v>
      </c>
      <c r="D41" s="57">
        <v>1825</v>
      </c>
      <c r="E41" s="57" t="s">
        <v>418</v>
      </c>
      <c r="F41" s="77">
        <v>1400</v>
      </c>
      <c r="G41" s="77">
        <f t="shared" si="0"/>
        <v>6240.150599999999</v>
      </c>
      <c r="H41" s="19">
        <f t="shared" si="1"/>
        <v>16332.4</v>
      </c>
      <c r="I41" s="511">
        <f>Ctrl!$J$8</f>
        <v>249798</v>
      </c>
      <c r="J41" s="19"/>
      <c r="K41" s="21">
        <f t="shared" si="2"/>
        <v>7493.94</v>
      </c>
      <c r="L41" s="21">
        <f t="shared" si="3"/>
        <v>4246.566000000001</v>
      </c>
      <c r="M41" s="21">
        <f t="shared" si="4"/>
        <v>3996.768</v>
      </c>
      <c r="N41" s="19">
        <f t="shared" si="7"/>
        <v>749.394</v>
      </c>
      <c r="O41" s="505">
        <f t="shared" si="6"/>
        <v>2098.7134</v>
      </c>
      <c r="P41" s="505"/>
    </row>
    <row r="42" spans="1:16" ht="22.5" customHeight="1">
      <c r="A42" s="36">
        <v>8</v>
      </c>
      <c r="B42" s="52">
        <v>10000</v>
      </c>
      <c r="C42" s="624" t="s">
        <v>246</v>
      </c>
      <c r="D42" s="57">
        <v>2525</v>
      </c>
      <c r="E42" s="57" t="s">
        <v>418</v>
      </c>
      <c r="F42" s="77">
        <v>1475</v>
      </c>
      <c r="G42" s="654">
        <f t="shared" si="0"/>
        <v>4664.2695250000015</v>
      </c>
      <c r="H42" s="19">
        <f t="shared" si="1"/>
        <v>17207.350000000002</v>
      </c>
      <c r="I42" s="511">
        <f>Ctrl!$J$10</f>
        <v>322873</v>
      </c>
      <c r="J42" s="19"/>
      <c r="K42" s="21">
        <f t="shared" si="2"/>
        <v>9686.19</v>
      </c>
      <c r="L42" s="21">
        <f t="shared" si="3"/>
        <v>5488.841</v>
      </c>
      <c r="M42" s="21">
        <f t="shared" si="4"/>
        <v>5165.968</v>
      </c>
      <c r="N42" s="19">
        <f t="shared" si="7"/>
        <v>968.619</v>
      </c>
      <c r="O42" s="505">
        <f t="shared" si="6"/>
        <v>2211.1444750000005</v>
      </c>
      <c r="P42" s="505"/>
    </row>
    <row r="43" spans="1:16" ht="22.5" customHeight="1">
      <c r="A43" s="36">
        <v>8</v>
      </c>
      <c r="B43" s="52">
        <v>10000</v>
      </c>
      <c r="C43" s="624" t="s">
        <v>347</v>
      </c>
      <c r="D43" s="57">
        <v>3425</v>
      </c>
      <c r="E43" s="57" t="s">
        <v>418</v>
      </c>
      <c r="F43" s="77">
        <v>1750</v>
      </c>
      <c r="G43" s="654">
        <f t="shared" si="0"/>
        <v>4539.340250000001</v>
      </c>
      <c r="H43" s="19">
        <f t="shared" si="1"/>
        <v>20415.5</v>
      </c>
      <c r="I43" s="511">
        <f>Ctrl!$J$12</f>
        <v>414149</v>
      </c>
      <c r="J43" s="19"/>
      <c r="K43" s="21">
        <f t="shared" si="2"/>
        <v>12424.47</v>
      </c>
      <c r="L43" s="21">
        <f t="shared" si="3"/>
        <v>7040.533</v>
      </c>
      <c r="M43" s="21">
        <f t="shared" si="4"/>
        <v>6626.384</v>
      </c>
      <c r="N43" s="19">
        <f t="shared" si="7"/>
        <v>1242.4470000000001</v>
      </c>
      <c r="O43" s="505">
        <f t="shared" si="6"/>
        <v>2623.3917500000002</v>
      </c>
      <c r="P43" s="505"/>
    </row>
    <row r="44" spans="1:16" ht="22.5" customHeight="1">
      <c r="A44" s="445">
        <v>9</v>
      </c>
      <c r="B44" s="446">
        <v>10000</v>
      </c>
      <c r="C44" s="630" t="s">
        <v>31</v>
      </c>
      <c r="D44" s="447">
        <v>950</v>
      </c>
      <c r="E44" s="448" t="s">
        <v>236</v>
      </c>
      <c r="F44" s="449">
        <v>925</v>
      </c>
      <c r="G44" s="655">
        <f t="shared" si="0"/>
        <v>3901.520075</v>
      </c>
      <c r="H44" s="19">
        <f t="shared" si="1"/>
        <v>10791.050000000001</v>
      </c>
      <c r="I44" s="511">
        <f>Ctrl!$J$4</f>
        <v>171965</v>
      </c>
      <c r="J44" s="19"/>
      <c r="K44" s="21">
        <f t="shared" si="2"/>
        <v>5158.95</v>
      </c>
      <c r="L44" s="21">
        <f t="shared" si="3"/>
        <v>2923.405</v>
      </c>
      <c r="M44" s="21">
        <f t="shared" si="4"/>
        <v>2751.44</v>
      </c>
      <c r="N44" s="19">
        <f t="shared" si="7"/>
        <v>515.895</v>
      </c>
      <c r="O44" s="505">
        <f t="shared" si="6"/>
        <v>1386.6499250000002</v>
      </c>
      <c r="P44" s="505"/>
    </row>
    <row r="45" spans="1:16" ht="22.5" customHeight="1">
      <c r="A45" s="445">
        <v>9</v>
      </c>
      <c r="B45" s="446">
        <v>10000</v>
      </c>
      <c r="C45" s="445" t="s">
        <v>264</v>
      </c>
      <c r="D45" s="447">
        <v>1380</v>
      </c>
      <c r="E45" s="448" t="s">
        <v>236</v>
      </c>
      <c r="F45" s="449">
        <v>1175</v>
      </c>
      <c r="G45" s="655">
        <f t="shared" si="0"/>
        <v>4940.081825000001</v>
      </c>
      <c r="H45" s="19">
        <f t="shared" si="1"/>
        <v>13707.550000000001</v>
      </c>
      <c r="I45" s="511">
        <f>Ctrl!$J$6</f>
        <v>218939</v>
      </c>
      <c r="J45" s="19"/>
      <c r="K45" s="21">
        <f t="shared" si="2"/>
        <v>6568.17</v>
      </c>
      <c r="L45" s="21">
        <f t="shared" si="3"/>
        <v>3721.963</v>
      </c>
      <c r="M45" s="21">
        <f t="shared" si="4"/>
        <v>3503.024</v>
      </c>
      <c r="N45" s="19">
        <f t="shared" si="7"/>
        <v>656.817</v>
      </c>
      <c r="O45" s="505">
        <f t="shared" si="6"/>
        <v>1761.4201750000002</v>
      </c>
      <c r="P45" s="505"/>
    </row>
    <row r="46" spans="1:16" ht="22.5" customHeight="1">
      <c r="A46" s="445">
        <v>9</v>
      </c>
      <c r="B46" s="446">
        <v>10000</v>
      </c>
      <c r="C46" s="630" t="s">
        <v>116</v>
      </c>
      <c r="D46" s="447">
        <v>1825</v>
      </c>
      <c r="E46" s="448" t="s">
        <v>236</v>
      </c>
      <c r="F46" s="449">
        <v>1425</v>
      </c>
      <c r="G46" s="616">
        <f t="shared" si="0"/>
        <v>6494.323575000001</v>
      </c>
      <c r="H46" s="19">
        <f t="shared" si="1"/>
        <v>16624.05</v>
      </c>
      <c r="I46" s="511">
        <f>Ctrl!$J$8</f>
        <v>249798</v>
      </c>
      <c r="J46" s="19"/>
      <c r="K46" s="21">
        <f t="shared" si="2"/>
        <v>7493.94</v>
      </c>
      <c r="L46" s="21">
        <f t="shared" si="3"/>
        <v>4246.566000000001</v>
      </c>
      <c r="M46" s="21">
        <f t="shared" si="4"/>
        <v>3996.768</v>
      </c>
      <c r="N46" s="19">
        <f t="shared" si="7"/>
        <v>749.394</v>
      </c>
      <c r="O46" s="505">
        <f t="shared" si="6"/>
        <v>2136.190425</v>
      </c>
      <c r="P46" s="505"/>
    </row>
    <row r="47" spans="1:16" ht="22.5" customHeight="1">
      <c r="A47" s="445">
        <v>9</v>
      </c>
      <c r="B47" s="446">
        <v>10000</v>
      </c>
      <c r="C47" s="630" t="s">
        <v>246</v>
      </c>
      <c r="D47" s="447">
        <v>2525</v>
      </c>
      <c r="E47" s="448" t="s">
        <v>236</v>
      </c>
      <c r="F47" s="449">
        <v>1500</v>
      </c>
      <c r="G47" s="655">
        <f t="shared" si="0"/>
        <v>4918.4425</v>
      </c>
      <c r="H47" s="19">
        <f t="shared" si="1"/>
        <v>17499</v>
      </c>
      <c r="I47" s="511">
        <f>Ctrl!$J$10</f>
        <v>322873</v>
      </c>
      <c r="J47" s="19"/>
      <c r="K47" s="21">
        <f t="shared" si="2"/>
        <v>9686.19</v>
      </c>
      <c r="L47" s="21">
        <f t="shared" si="3"/>
        <v>5488.841</v>
      </c>
      <c r="M47" s="21">
        <f t="shared" si="4"/>
        <v>5165.968</v>
      </c>
      <c r="N47" s="19">
        <f t="shared" si="7"/>
        <v>968.619</v>
      </c>
      <c r="O47" s="505">
        <f t="shared" si="6"/>
        <v>2248.6215</v>
      </c>
      <c r="P47" s="505"/>
    </row>
    <row r="48" spans="1:16" ht="22.5" customHeight="1">
      <c r="A48" s="445">
        <v>9</v>
      </c>
      <c r="B48" s="446">
        <v>10000</v>
      </c>
      <c r="C48" s="630" t="s">
        <v>347</v>
      </c>
      <c r="D48" s="447">
        <v>3425</v>
      </c>
      <c r="E48" s="448" t="s">
        <v>236</v>
      </c>
      <c r="F48" s="449">
        <v>1775</v>
      </c>
      <c r="G48" s="655">
        <f t="shared" si="0"/>
        <v>4793.513225000002</v>
      </c>
      <c r="H48" s="19">
        <f t="shared" si="1"/>
        <v>20707.15</v>
      </c>
      <c r="I48" s="511">
        <f>Ctrl!$J$12</f>
        <v>414149</v>
      </c>
      <c r="J48" s="19"/>
      <c r="K48" s="21">
        <f t="shared" si="2"/>
        <v>12424.47</v>
      </c>
      <c r="L48" s="21">
        <f t="shared" si="3"/>
        <v>7040.533</v>
      </c>
      <c r="M48" s="21">
        <f t="shared" si="4"/>
        <v>6626.384</v>
      </c>
      <c r="N48" s="19">
        <f t="shared" si="7"/>
        <v>1242.4470000000001</v>
      </c>
      <c r="O48" s="505">
        <f t="shared" si="6"/>
        <v>2660.8687750000004</v>
      </c>
      <c r="P48" s="505"/>
    </row>
    <row r="49" spans="1:16" ht="22.5" customHeight="1">
      <c r="A49" s="39">
        <v>10</v>
      </c>
      <c r="B49" s="51">
        <v>10000</v>
      </c>
      <c r="C49" s="633" t="s">
        <v>31</v>
      </c>
      <c r="D49" s="58">
        <v>950</v>
      </c>
      <c r="E49" s="58" t="s">
        <v>147</v>
      </c>
      <c r="F49" s="99">
        <v>975</v>
      </c>
      <c r="G49" s="586">
        <f t="shared" si="0"/>
        <v>4409.866024999999</v>
      </c>
      <c r="H49" s="19">
        <f t="shared" si="1"/>
        <v>11374.35</v>
      </c>
      <c r="I49" s="511">
        <f>Ctrl!$J$4</f>
        <v>171965</v>
      </c>
      <c r="J49" s="19"/>
      <c r="K49" s="21">
        <f t="shared" si="2"/>
        <v>5158.95</v>
      </c>
      <c r="L49" s="21">
        <f t="shared" si="3"/>
        <v>2923.405</v>
      </c>
      <c r="M49" s="21">
        <f t="shared" si="4"/>
        <v>2751.44</v>
      </c>
      <c r="N49" s="19">
        <f t="shared" si="7"/>
        <v>515.895</v>
      </c>
      <c r="O49" s="505">
        <f t="shared" si="6"/>
        <v>1461.603975</v>
      </c>
      <c r="P49" s="505"/>
    </row>
    <row r="50" spans="1:16" ht="22.5" customHeight="1">
      <c r="A50" s="39">
        <v>10</v>
      </c>
      <c r="B50" s="51">
        <v>10000</v>
      </c>
      <c r="C50" s="39" t="s">
        <v>264</v>
      </c>
      <c r="D50" s="58">
        <v>1380</v>
      </c>
      <c r="E50" s="58" t="s">
        <v>147</v>
      </c>
      <c r="F50" s="99">
        <v>1225</v>
      </c>
      <c r="G50" s="586">
        <f t="shared" si="0"/>
        <v>5448.427775</v>
      </c>
      <c r="H50" s="19">
        <f t="shared" si="1"/>
        <v>14290.85</v>
      </c>
      <c r="I50" s="511">
        <f>Ctrl!$J$6</f>
        <v>218939</v>
      </c>
      <c r="J50" s="19"/>
      <c r="K50" s="21">
        <f t="shared" si="2"/>
        <v>6568.17</v>
      </c>
      <c r="L50" s="21">
        <f t="shared" si="3"/>
        <v>3721.963</v>
      </c>
      <c r="M50" s="21">
        <f t="shared" si="4"/>
        <v>3503.024</v>
      </c>
      <c r="N50" s="19">
        <f t="shared" si="7"/>
        <v>656.817</v>
      </c>
      <c r="O50" s="505">
        <f t="shared" si="6"/>
        <v>1836.374225</v>
      </c>
      <c r="P50" s="505"/>
    </row>
    <row r="51" spans="1:16" ht="22.5" customHeight="1">
      <c r="A51" s="39">
        <v>10</v>
      </c>
      <c r="B51" s="51">
        <v>10000</v>
      </c>
      <c r="C51" s="633" t="s">
        <v>116</v>
      </c>
      <c r="D51" s="58">
        <v>1825</v>
      </c>
      <c r="E51" s="58" t="s">
        <v>147</v>
      </c>
      <c r="F51" s="99">
        <v>1475</v>
      </c>
      <c r="G51" s="617">
        <f t="shared" si="0"/>
        <v>7002.669525000003</v>
      </c>
      <c r="H51" s="19">
        <f t="shared" si="1"/>
        <v>17207.350000000002</v>
      </c>
      <c r="I51" s="511">
        <f>Ctrl!$J$8</f>
        <v>249798</v>
      </c>
      <c r="J51" s="19"/>
      <c r="K51" s="21">
        <f t="shared" si="2"/>
        <v>7493.94</v>
      </c>
      <c r="L51" s="21">
        <f t="shared" si="3"/>
        <v>4246.566000000001</v>
      </c>
      <c r="M51" s="21">
        <f t="shared" si="4"/>
        <v>3996.768</v>
      </c>
      <c r="N51" s="19">
        <f t="shared" si="7"/>
        <v>749.394</v>
      </c>
      <c r="O51" s="505">
        <f t="shared" si="6"/>
        <v>2211.1444750000005</v>
      </c>
      <c r="P51" s="505"/>
    </row>
    <row r="52" spans="1:16" ht="22.5" customHeight="1">
      <c r="A52" s="39">
        <v>10</v>
      </c>
      <c r="B52" s="51">
        <v>10000</v>
      </c>
      <c r="C52" s="633" t="s">
        <v>246</v>
      </c>
      <c r="D52" s="58">
        <v>2525</v>
      </c>
      <c r="E52" s="58" t="s">
        <v>147</v>
      </c>
      <c r="F52" s="99">
        <v>1550</v>
      </c>
      <c r="G52" s="586">
        <f t="shared" si="0"/>
        <v>5426.78845</v>
      </c>
      <c r="H52" s="19">
        <f t="shared" si="1"/>
        <v>18082.3</v>
      </c>
      <c r="I52" s="511">
        <f>Ctrl!$J$10</f>
        <v>322873</v>
      </c>
      <c r="J52" s="19"/>
      <c r="K52" s="21">
        <f t="shared" si="2"/>
        <v>9686.19</v>
      </c>
      <c r="L52" s="21">
        <f t="shared" si="3"/>
        <v>5488.841</v>
      </c>
      <c r="M52" s="21">
        <f t="shared" si="4"/>
        <v>5165.968</v>
      </c>
      <c r="N52" s="19">
        <f t="shared" si="7"/>
        <v>968.619</v>
      </c>
      <c r="O52" s="505">
        <f t="shared" si="6"/>
        <v>2323.57555</v>
      </c>
      <c r="P52" s="505"/>
    </row>
    <row r="53" spans="1:16" ht="22.5" customHeight="1">
      <c r="A53" s="39">
        <v>10</v>
      </c>
      <c r="B53" s="51">
        <v>10000</v>
      </c>
      <c r="C53" s="633" t="s">
        <v>347</v>
      </c>
      <c r="D53" s="58">
        <v>3425</v>
      </c>
      <c r="E53" s="58" t="s">
        <v>147</v>
      </c>
      <c r="F53" s="99">
        <v>1825</v>
      </c>
      <c r="G53" s="586">
        <f t="shared" si="0"/>
        <v>5301.859175000002</v>
      </c>
      <c r="H53" s="19">
        <f t="shared" si="1"/>
        <v>21290.45</v>
      </c>
      <c r="I53" s="511">
        <f>Ctrl!$J$12</f>
        <v>414149</v>
      </c>
      <c r="J53" s="19"/>
      <c r="K53" s="21">
        <f t="shared" si="2"/>
        <v>12424.47</v>
      </c>
      <c r="L53" s="21">
        <f t="shared" si="3"/>
        <v>7040.533</v>
      </c>
      <c r="M53" s="21">
        <f t="shared" si="4"/>
        <v>6626.384</v>
      </c>
      <c r="N53" s="19">
        <f t="shared" si="7"/>
        <v>1242.4470000000001</v>
      </c>
      <c r="O53" s="505">
        <f t="shared" si="6"/>
        <v>2735.822825</v>
      </c>
      <c r="P53" s="505"/>
    </row>
    <row r="54" spans="1:16" ht="22.5" customHeight="1">
      <c r="A54" s="25">
        <v>11</v>
      </c>
      <c r="B54" s="37">
        <v>10000</v>
      </c>
      <c r="C54" s="627" t="s">
        <v>238</v>
      </c>
      <c r="D54" s="59">
        <v>950</v>
      </c>
      <c r="E54" s="59" t="s">
        <v>146</v>
      </c>
      <c r="F54" s="81">
        <v>1000</v>
      </c>
      <c r="G54" s="656">
        <f t="shared" si="0"/>
        <v>4664.038999999999</v>
      </c>
      <c r="H54" s="19">
        <f t="shared" si="1"/>
        <v>11666</v>
      </c>
      <c r="I54" s="511">
        <f>Ctrl!$J$4</f>
        <v>171965</v>
      </c>
      <c r="J54" s="19"/>
      <c r="K54" s="21">
        <f t="shared" si="2"/>
        <v>5158.95</v>
      </c>
      <c r="L54" s="21">
        <f t="shared" si="3"/>
        <v>2923.405</v>
      </c>
      <c r="M54" s="21">
        <f t="shared" si="4"/>
        <v>2751.44</v>
      </c>
      <c r="N54" s="19">
        <f t="shared" si="7"/>
        <v>515.895</v>
      </c>
      <c r="O54" s="505">
        <f t="shared" si="6"/>
        <v>1499.0810000000001</v>
      </c>
      <c r="P54" s="505"/>
    </row>
    <row r="55" spans="1:16" ht="22.5" customHeight="1">
      <c r="A55" s="25">
        <v>11</v>
      </c>
      <c r="B55" s="37">
        <v>10000</v>
      </c>
      <c r="C55" s="25" t="s">
        <v>264</v>
      </c>
      <c r="D55" s="59">
        <v>1380</v>
      </c>
      <c r="E55" s="59" t="s">
        <v>146</v>
      </c>
      <c r="F55" s="81">
        <v>1250</v>
      </c>
      <c r="G55" s="656">
        <f t="shared" si="0"/>
        <v>5702.6007500000005</v>
      </c>
      <c r="H55" s="19">
        <f t="shared" si="1"/>
        <v>14582.5</v>
      </c>
      <c r="I55" s="511">
        <f>Ctrl!$J$6</f>
        <v>218939</v>
      </c>
      <c r="J55" s="19"/>
      <c r="K55" s="21">
        <f t="shared" si="2"/>
        <v>6568.17</v>
      </c>
      <c r="L55" s="21">
        <f t="shared" si="3"/>
        <v>3721.963</v>
      </c>
      <c r="M55" s="21">
        <f t="shared" si="4"/>
        <v>3503.024</v>
      </c>
      <c r="N55" s="19">
        <f t="shared" si="7"/>
        <v>656.817</v>
      </c>
      <c r="O55" s="505">
        <f t="shared" si="6"/>
        <v>1873.85125</v>
      </c>
      <c r="P55" s="505"/>
    </row>
    <row r="56" spans="1:16" ht="22.5" customHeight="1">
      <c r="A56" s="25">
        <v>11</v>
      </c>
      <c r="B56" s="53">
        <v>10000</v>
      </c>
      <c r="C56" s="627" t="s">
        <v>116</v>
      </c>
      <c r="D56" s="59">
        <v>1825</v>
      </c>
      <c r="E56" s="59" t="s">
        <v>146</v>
      </c>
      <c r="F56" s="81">
        <v>1500</v>
      </c>
      <c r="G56" s="81">
        <f t="shared" si="0"/>
        <v>7256.842500000002</v>
      </c>
      <c r="H56" s="19">
        <f t="shared" si="1"/>
        <v>17499</v>
      </c>
      <c r="I56" s="511">
        <f>Ctrl!$J$8</f>
        <v>249798</v>
      </c>
      <c r="J56" s="19"/>
      <c r="K56" s="21">
        <f t="shared" si="2"/>
        <v>7493.94</v>
      </c>
      <c r="L56" s="21">
        <f t="shared" si="3"/>
        <v>4246.566000000001</v>
      </c>
      <c r="M56" s="21">
        <f t="shared" si="4"/>
        <v>3996.768</v>
      </c>
      <c r="N56" s="19">
        <f t="shared" si="7"/>
        <v>749.394</v>
      </c>
      <c r="O56" s="505">
        <f t="shared" si="6"/>
        <v>2248.6215</v>
      </c>
      <c r="P56" s="505"/>
    </row>
    <row r="57" spans="1:16" ht="22.5" customHeight="1">
      <c r="A57" s="25">
        <v>11</v>
      </c>
      <c r="B57" s="53">
        <v>10000</v>
      </c>
      <c r="C57" s="627" t="s">
        <v>246</v>
      </c>
      <c r="D57" s="59">
        <v>2525</v>
      </c>
      <c r="E57" s="59" t="s">
        <v>146</v>
      </c>
      <c r="F57" s="81">
        <v>1575</v>
      </c>
      <c r="G57" s="656">
        <f t="shared" si="0"/>
        <v>5680.961425000001</v>
      </c>
      <c r="H57" s="19">
        <f t="shared" si="1"/>
        <v>18373.95</v>
      </c>
      <c r="I57" s="511">
        <f>Ctrl!$J$10</f>
        <v>322873</v>
      </c>
      <c r="J57" s="19"/>
      <c r="K57" s="21">
        <f t="shared" si="2"/>
        <v>9686.19</v>
      </c>
      <c r="L57" s="21">
        <f t="shared" si="3"/>
        <v>5488.841</v>
      </c>
      <c r="M57" s="21">
        <f t="shared" si="4"/>
        <v>5165.968</v>
      </c>
      <c r="N57" s="19">
        <f t="shared" si="7"/>
        <v>968.619</v>
      </c>
      <c r="O57" s="505">
        <f t="shared" si="6"/>
        <v>2361.052575</v>
      </c>
      <c r="P57" s="505"/>
    </row>
    <row r="58" spans="1:16" ht="22.5" customHeight="1">
      <c r="A58" s="22">
        <v>11</v>
      </c>
      <c r="B58" s="53">
        <v>10000</v>
      </c>
      <c r="C58" s="627" t="s">
        <v>347</v>
      </c>
      <c r="D58" s="59">
        <v>3425</v>
      </c>
      <c r="E58" s="59" t="s">
        <v>146</v>
      </c>
      <c r="F58" s="81">
        <v>1850</v>
      </c>
      <c r="G58" s="656">
        <f t="shared" si="0"/>
        <v>5556.032150000004</v>
      </c>
      <c r="H58" s="19">
        <f t="shared" si="1"/>
        <v>21582.100000000002</v>
      </c>
      <c r="I58" s="511">
        <f>Ctrl!$J$12</f>
        <v>414149</v>
      </c>
      <c r="J58" s="19"/>
      <c r="K58" s="21">
        <f t="shared" si="2"/>
        <v>12424.47</v>
      </c>
      <c r="L58" s="21">
        <f t="shared" si="3"/>
        <v>7040.533</v>
      </c>
      <c r="M58" s="21">
        <f t="shared" si="4"/>
        <v>6626.384</v>
      </c>
      <c r="N58" s="19">
        <f t="shared" si="7"/>
        <v>1242.4470000000001</v>
      </c>
      <c r="O58" s="505">
        <f t="shared" si="6"/>
        <v>2773.2998500000003</v>
      </c>
      <c r="P58" s="505"/>
    </row>
    <row r="59" spans="1:16" ht="22.5" customHeight="1">
      <c r="A59" s="70">
        <v>12</v>
      </c>
      <c r="B59" s="71">
        <v>15000</v>
      </c>
      <c r="C59" s="620" t="s">
        <v>31</v>
      </c>
      <c r="D59" s="574">
        <v>950</v>
      </c>
      <c r="E59" s="574" t="s">
        <v>37</v>
      </c>
      <c r="F59" s="80">
        <v>980</v>
      </c>
      <c r="G59" s="652">
        <f t="shared" si="0"/>
        <v>4460.70062</v>
      </c>
      <c r="H59" s="19">
        <f t="shared" si="1"/>
        <v>11432.68</v>
      </c>
      <c r="I59" s="511">
        <f>Ctrl!$J$4</f>
        <v>171965</v>
      </c>
      <c r="J59" s="19"/>
      <c r="K59" s="21">
        <f t="shared" si="2"/>
        <v>5158.95</v>
      </c>
      <c r="L59" s="21">
        <f t="shared" si="3"/>
        <v>2923.405</v>
      </c>
      <c r="M59" s="21">
        <f t="shared" si="4"/>
        <v>2751.44</v>
      </c>
      <c r="N59" s="19">
        <f t="shared" si="7"/>
        <v>515.895</v>
      </c>
      <c r="O59" s="505">
        <f t="shared" si="6"/>
        <v>1469.09938</v>
      </c>
      <c r="P59" s="505"/>
    </row>
    <row r="60" spans="1:16" ht="22.5" customHeight="1">
      <c r="A60" s="70">
        <v>12</v>
      </c>
      <c r="B60" s="71">
        <v>15000</v>
      </c>
      <c r="C60" s="70" t="s">
        <v>264</v>
      </c>
      <c r="D60" s="574">
        <v>1380</v>
      </c>
      <c r="E60" s="574" t="s">
        <v>37</v>
      </c>
      <c r="F60" s="80">
        <v>1235</v>
      </c>
      <c r="G60" s="652">
        <f t="shared" si="0"/>
        <v>5550.096965000001</v>
      </c>
      <c r="H60" s="19">
        <f t="shared" si="1"/>
        <v>14407.51</v>
      </c>
      <c r="I60" s="511">
        <f>Ctrl!$J$6</f>
        <v>218939</v>
      </c>
      <c r="J60" s="19"/>
      <c r="K60" s="21">
        <f t="shared" si="2"/>
        <v>6568.17</v>
      </c>
      <c r="L60" s="21">
        <f t="shared" si="3"/>
        <v>3721.963</v>
      </c>
      <c r="M60" s="21">
        <f t="shared" si="4"/>
        <v>3503.024</v>
      </c>
      <c r="N60" s="19">
        <f t="shared" si="7"/>
        <v>656.817</v>
      </c>
      <c r="O60" s="505">
        <f t="shared" si="6"/>
        <v>1851.365035</v>
      </c>
      <c r="P60" s="505"/>
    </row>
    <row r="61" spans="1:16" ht="22.5" customHeight="1">
      <c r="A61" s="70">
        <v>12</v>
      </c>
      <c r="B61" s="71">
        <v>15000</v>
      </c>
      <c r="C61" s="620" t="s">
        <v>116</v>
      </c>
      <c r="D61" s="574">
        <v>1825</v>
      </c>
      <c r="E61" s="574" t="s">
        <v>37</v>
      </c>
      <c r="F61" s="80">
        <v>1490</v>
      </c>
      <c r="G61" s="80">
        <f t="shared" si="0"/>
        <v>7155.173310000002</v>
      </c>
      <c r="H61" s="19">
        <f t="shared" si="1"/>
        <v>17382.34</v>
      </c>
      <c r="I61" s="511">
        <f>Ctrl!$J$8</f>
        <v>249798</v>
      </c>
      <c r="J61" s="19"/>
      <c r="K61" s="21">
        <f t="shared" si="2"/>
        <v>7493.94</v>
      </c>
      <c r="L61" s="21">
        <f t="shared" si="3"/>
        <v>4246.566000000001</v>
      </c>
      <c r="M61" s="21">
        <f t="shared" si="4"/>
        <v>3996.768</v>
      </c>
      <c r="N61" s="19">
        <f t="shared" si="7"/>
        <v>749.394</v>
      </c>
      <c r="O61" s="505">
        <f t="shared" si="6"/>
        <v>2233.63069</v>
      </c>
      <c r="P61" s="505"/>
    </row>
    <row r="62" spans="1:16" ht="22.5" customHeight="1">
      <c r="A62" s="70">
        <v>12</v>
      </c>
      <c r="B62" s="71">
        <v>15000</v>
      </c>
      <c r="C62" s="620" t="s">
        <v>246</v>
      </c>
      <c r="D62" s="574">
        <v>2525</v>
      </c>
      <c r="E62" s="574" t="s">
        <v>37</v>
      </c>
      <c r="F62" s="80">
        <v>1600</v>
      </c>
      <c r="G62" s="652">
        <f t="shared" si="0"/>
        <v>5935.134400000003</v>
      </c>
      <c r="H62" s="19">
        <f t="shared" si="1"/>
        <v>18665.600000000002</v>
      </c>
      <c r="I62" s="511">
        <f>Ctrl!$J$10</f>
        <v>322873</v>
      </c>
      <c r="J62" s="19"/>
      <c r="K62" s="21">
        <f t="shared" si="2"/>
        <v>9686.19</v>
      </c>
      <c r="L62" s="21">
        <f t="shared" si="3"/>
        <v>5488.841</v>
      </c>
      <c r="M62" s="21">
        <f t="shared" si="4"/>
        <v>5165.968</v>
      </c>
      <c r="N62" s="19">
        <f t="shared" si="7"/>
        <v>968.619</v>
      </c>
      <c r="O62" s="505">
        <f t="shared" si="6"/>
        <v>2398.5296000000003</v>
      </c>
      <c r="P62" s="505"/>
    </row>
    <row r="63" spans="1:16" ht="22.5" customHeight="1">
      <c r="A63" s="70">
        <v>12</v>
      </c>
      <c r="B63" s="71">
        <v>15000</v>
      </c>
      <c r="C63" s="620" t="s">
        <v>84</v>
      </c>
      <c r="D63" s="574">
        <v>3425</v>
      </c>
      <c r="E63" s="574" t="s">
        <v>37</v>
      </c>
      <c r="F63" s="80">
        <v>1875</v>
      </c>
      <c r="G63" s="652">
        <f t="shared" si="0"/>
        <v>5810.205125000002</v>
      </c>
      <c r="H63" s="19">
        <f t="shared" si="1"/>
        <v>21873.75</v>
      </c>
      <c r="I63" s="511">
        <f>Ctrl!$J$12</f>
        <v>414149</v>
      </c>
      <c r="J63" s="19"/>
      <c r="K63" s="21">
        <f t="shared" si="2"/>
        <v>12424.47</v>
      </c>
      <c r="L63" s="21">
        <f t="shared" si="3"/>
        <v>7040.533</v>
      </c>
      <c r="M63" s="21">
        <f t="shared" si="4"/>
        <v>6626.384</v>
      </c>
      <c r="N63" s="19">
        <f t="shared" si="7"/>
        <v>1242.4470000000001</v>
      </c>
      <c r="O63" s="505">
        <f t="shared" si="6"/>
        <v>2810.776875</v>
      </c>
      <c r="P63" s="505"/>
    </row>
    <row r="64" spans="1:16" ht="22.5" customHeight="1">
      <c r="A64" s="36">
        <v>13</v>
      </c>
      <c r="B64" s="55">
        <v>15000</v>
      </c>
      <c r="C64" s="624" t="s">
        <v>31</v>
      </c>
      <c r="D64" s="575">
        <v>950</v>
      </c>
      <c r="E64" s="57" t="s">
        <v>145</v>
      </c>
      <c r="F64" s="77">
        <v>930</v>
      </c>
      <c r="G64" s="654">
        <f t="shared" si="0"/>
        <v>3952.3546699999997</v>
      </c>
      <c r="H64" s="19">
        <f t="shared" si="1"/>
        <v>10849.380000000001</v>
      </c>
      <c r="I64" s="511">
        <f>Ctrl!$J$4</f>
        <v>171965</v>
      </c>
      <c r="J64" s="19"/>
      <c r="K64" s="21">
        <f t="shared" si="2"/>
        <v>5158.95</v>
      </c>
      <c r="L64" s="21">
        <f t="shared" si="3"/>
        <v>2923.405</v>
      </c>
      <c r="M64" s="21">
        <f t="shared" si="4"/>
        <v>2751.44</v>
      </c>
      <c r="N64" s="19">
        <f t="shared" si="7"/>
        <v>515.895</v>
      </c>
      <c r="O64" s="505">
        <f t="shared" si="6"/>
        <v>1394.14533</v>
      </c>
      <c r="P64" s="505"/>
    </row>
    <row r="65" spans="1:16" ht="22.5" customHeight="1">
      <c r="A65" s="36">
        <v>13</v>
      </c>
      <c r="B65" s="55">
        <v>15000</v>
      </c>
      <c r="C65" s="36" t="s">
        <v>264</v>
      </c>
      <c r="D65" s="57">
        <v>1380</v>
      </c>
      <c r="E65" s="57" t="s">
        <v>145</v>
      </c>
      <c r="F65" s="77">
        <v>1185</v>
      </c>
      <c r="G65" s="654">
        <f t="shared" si="0"/>
        <v>5041.751015000001</v>
      </c>
      <c r="H65" s="19">
        <f t="shared" si="1"/>
        <v>13824.210000000001</v>
      </c>
      <c r="I65" s="511">
        <f>Ctrl!$J$6</f>
        <v>218939</v>
      </c>
      <c r="J65" s="19"/>
      <c r="K65" s="21">
        <f t="shared" si="2"/>
        <v>6568.17</v>
      </c>
      <c r="L65" s="21">
        <f t="shared" si="3"/>
        <v>3721.963</v>
      </c>
      <c r="M65" s="21">
        <f t="shared" si="4"/>
        <v>3503.024</v>
      </c>
      <c r="N65" s="19">
        <f t="shared" si="7"/>
        <v>656.817</v>
      </c>
      <c r="O65" s="505">
        <f t="shared" si="6"/>
        <v>1776.4109850000002</v>
      </c>
      <c r="P65" s="505"/>
    </row>
    <row r="66" spans="1:16" ht="22.5" customHeight="1">
      <c r="A66" s="36">
        <v>13</v>
      </c>
      <c r="B66" s="55">
        <v>15000</v>
      </c>
      <c r="C66" s="624" t="s">
        <v>116</v>
      </c>
      <c r="D66" s="57">
        <v>1825</v>
      </c>
      <c r="E66" s="57" t="s">
        <v>145</v>
      </c>
      <c r="F66" s="77">
        <v>1440</v>
      </c>
      <c r="G66" s="77">
        <f t="shared" si="0"/>
        <v>6646.827360000003</v>
      </c>
      <c r="H66" s="19">
        <f t="shared" si="1"/>
        <v>16799.04</v>
      </c>
      <c r="I66" s="511">
        <f>Ctrl!$J$8</f>
        <v>249798</v>
      </c>
      <c r="J66" s="19"/>
      <c r="K66" s="21">
        <f t="shared" si="2"/>
        <v>7493.94</v>
      </c>
      <c r="L66" s="21">
        <f t="shared" si="3"/>
        <v>4246.566000000001</v>
      </c>
      <c r="M66" s="21">
        <f t="shared" si="4"/>
        <v>3996.768</v>
      </c>
      <c r="N66" s="19">
        <f t="shared" si="7"/>
        <v>749.394</v>
      </c>
      <c r="O66" s="505">
        <f t="shared" si="6"/>
        <v>2158.67664</v>
      </c>
      <c r="P66" s="505"/>
    </row>
    <row r="67" spans="1:16" ht="22.5" customHeight="1">
      <c r="A67" s="36">
        <v>13</v>
      </c>
      <c r="B67" s="55">
        <v>15000</v>
      </c>
      <c r="C67" s="624" t="s">
        <v>246</v>
      </c>
      <c r="D67" s="57">
        <v>2525</v>
      </c>
      <c r="E67" s="57" t="s">
        <v>145</v>
      </c>
      <c r="F67" s="77">
        <v>1550</v>
      </c>
      <c r="G67" s="654">
        <f t="shared" si="0"/>
        <v>5426.78845</v>
      </c>
      <c r="H67" s="19">
        <f t="shared" si="1"/>
        <v>18082.3</v>
      </c>
      <c r="I67" s="511">
        <f>Ctrl!$J$10</f>
        <v>322873</v>
      </c>
      <c r="J67" s="19"/>
      <c r="K67" s="21">
        <f t="shared" si="2"/>
        <v>9686.19</v>
      </c>
      <c r="L67" s="21">
        <f t="shared" si="3"/>
        <v>5488.841</v>
      </c>
      <c r="M67" s="21">
        <f t="shared" si="4"/>
        <v>5165.968</v>
      </c>
      <c r="N67" s="19">
        <f t="shared" si="7"/>
        <v>968.619</v>
      </c>
      <c r="O67" s="505">
        <f t="shared" si="6"/>
        <v>2323.57555</v>
      </c>
      <c r="P67" s="505"/>
    </row>
    <row r="68" spans="1:16" ht="22.5" customHeight="1">
      <c r="A68" s="36">
        <v>13</v>
      </c>
      <c r="B68" s="55">
        <v>15000</v>
      </c>
      <c r="C68" s="624" t="s">
        <v>347</v>
      </c>
      <c r="D68" s="57">
        <v>3425</v>
      </c>
      <c r="E68" s="57" t="s">
        <v>418</v>
      </c>
      <c r="F68" s="77">
        <v>1825</v>
      </c>
      <c r="G68" s="654">
        <f aca="true" t="shared" si="8" ref="G68:G131">H68-K68+L68-M68-N68-O68</f>
        <v>5301.859175000002</v>
      </c>
      <c r="H68" s="19">
        <f aca="true" t="shared" si="9" ref="H68:H131">F68*$H$2</f>
        <v>21290.45</v>
      </c>
      <c r="I68" s="511">
        <f>Ctrl!$J$12</f>
        <v>414149</v>
      </c>
      <c r="J68" s="19"/>
      <c r="K68" s="21">
        <f aca="true" t="shared" si="10" ref="K68:K131">$K$2*I68</f>
        <v>12424.47</v>
      </c>
      <c r="L68" s="21">
        <f aca="true" t="shared" si="11" ref="L68:L131">$L$2*I68</f>
        <v>7040.533</v>
      </c>
      <c r="M68" s="21">
        <f aca="true" t="shared" si="12" ref="M68:M131">$M$2*I68</f>
        <v>6626.384</v>
      </c>
      <c r="N68" s="19">
        <f aca="true" t="shared" si="13" ref="N68:N99">$N$2*I68</f>
        <v>1242.4470000000001</v>
      </c>
      <c r="O68" s="505">
        <f aca="true" t="shared" si="14" ref="O68:O131">$O$2*H68</f>
        <v>2735.822825</v>
      </c>
      <c r="P68" s="505"/>
    </row>
    <row r="69" spans="1:16" ht="22.5" customHeight="1">
      <c r="A69" s="445">
        <v>14</v>
      </c>
      <c r="B69" s="446">
        <v>15000</v>
      </c>
      <c r="C69" s="630" t="s">
        <v>31</v>
      </c>
      <c r="D69" s="447">
        <v>950</v>
      </c>
      <c r="E69" s="450" t="s">
        <v>276</v>
      </c>
      <c r="F69" s="449">
        <v>955</v>
      </c>
      <c r="G69" s="655">
        <f t="shared" si="8"/>
        <v>4206.527644999999</v>
      </c>
      <c r="H69" s="19">
        <f t="shared" si="9"/>
        <v>11141.03</v>
      </c>
      <c r="I69" s="511">
        <f>Ctrl!$J$4</f>
        <v>171965</v>
      </c>
      <c r="J69" s="19"/>
      <c r="K69" s="21">
        <f t="shared" si="10"/>
        <v>5158.95</v>
      </c>
      <c r="L69" s="21">
        <f t="shared" si="11"/>
        <v>2923.405</v>
      </c>
      <c r="M69" s="21">
        <f t="shared" si="12"/>
        <v>2751.44</v>
      </c>
      <c r="N69" s="19">
        <f t="shared" si="13"/>
        <v>515.895</v>
      </c>
      <c r="O69" s="505">
        <f t="shared" si="14"/>
        <v>1431.6223550000002</v>
      </c>
      <c r="P69" s="505"/>
    </row>
    <row r="70" spans="1:16" ht="22.5" customHeight="1">
      <c r="A70" s="445">
        <v>14</v>
      </c>
      <c r="B70" s="446">
        <v>15000</v>
      </c>
      <c r="C70" s="445" t="s">
        <v>264</v>
      </c>
      <c r="D70" s="447">
        <v>1380</v>
      </c>
      <c r="E70" s="450" t="s">
        <v>276</v>
      </c>
      <c r="F70" s="449">
        <v>1210</v>
      </c>
      <c r="G70" s="655">
        <f t="shared" si="8"/>
        <v>5295.923990000001</v>
      </c>
      <c r="H70" s="19">
        <f t="shared" si="9"/>
        <v>14115.86</v>
      </c>
      <c r="I70" s="511">
        <f>Ctrl!$J$6</f>
        <v>218939</v>
      </c>
      <c r="J70" s="19"/>
      <c r="K70" s="21">
        <f t="shared" si="10"/>
        <v>6568.17</v>
      </c>
      <c r="L70" s="21">
        <f t="shared" si="11"/>
        <v>3721.963</v>
      </c>
      <c r="M70" s="21">
        <f t="shared" si="12"/>
        <v>3503.024</v>
      </c>
      <c r="N70" s="19">
        <f t="shared" si="13"/>
        <v>656.817</v>
      </c>
      <c r="O70" s="505">
        <f t="shared" si="14"/>
        <v>1813.8880100000001</v>
      </c>
      <c r="P70" s="505"/>
    </row>
    <row r="71" spans="1:16" ht="22.5" customHeight="1">
      <c r="A71" s="445">
        <v>14</v>
      </c>
      <c r="B71" s="446">
        <v>15000</v>
      </c>
      <c r="C71" s="630" t="s">
        <v>116</v>
      </c>
      <c r="D71" s="447">
        <v>1825</v>
      </c>
      <c r="E71" s="450" t="s">
        <v>276</v>
      </c>
      <c r="F71" s="449">
        <v>1465</v>
      </c>
      <c r="G71" s="616">
        <f t="shared" si="8"/>
        <v>6901.000335000004</v>
      </c>
      <c r="H71" s="19">
        <f t="shared" si="9"/>
        <v>17090.690000000002</v>
      </c>
      <c r="I71" s="511">
        <f>Ctrl!$J$8</f>
        <v>249798</v>
      </c>
      <c r="J71" s="19"/>
      <c r="K71" s="21">
        <f t="shared" si="10"/>
        <v>7493.94</v>
      </c>
      <c r="L71" s="21">
        <f t="shared" si="11"/>
        <v>4246.566000000001</v>
      </c>
      <c r="M71" s="21">
        <f t="shared" si="12"/>
        <v>3996.768</v>
      </c>
      <c r="N71" s="19">
        <f t="shared" si="13"/>
        <v>749.394</v>
      </c>
      <c r="O71" s="505">
        <f t="shared" si="14"/>
        <v>2196.1536650000003</v>
      </c>
      <c r="P71" s="505"/>
    </row>
    <row r="72" spans="1:16" ht="22.5" customHeight="1">
      <c r="A72" s="445">
        <v>14</v>
      </c>
      <c r="B72" s="446">
        <v>15000</v>
      </c>
      <c r="C72" s="630" t="s">
        <v>246</v>
      </c>
      <c r="D72" s="447">
        <v>2525</v>
      </c>
      <c r="E72" s="450" t="s">
        <v>276</v>
      </c>
      <c r="F72" s="449">
        <v>1575</v>
      </c>
      <c r="G72" s="655">
        <f t="shared" si="8"/>
        <v>5680.961425000001</v>
      </c>
      <c r="H72" s="19">
        <f t="shared" si="9"/>
        <v>18373.95</v>
      </c>
      <c r="I72" s="511">
        <f>Ctrl!$J$10</f>
        <v>322873</v>
      </c>
      <c r="J72" s="19"/>
      <c r="K72" s="21">
        <f t="shared" si="10"/>
        <v>9686.19</v>
      </c>
      <c r="L72" s="21">
        <f t="shared" si="11"/>
        <v>5488.841</v>
      </c>
      <c r="M72" s="21">
        <f t="shared" si="12"/>
        <v>5165.968</v>
      </c>
      <c r="N72" s="19">
        <f t="shared" si="13"/>
        <v>968.619</v>
      </c>
      <c r="O72" s="505">
        <f t="shared" si="14"/>
        <v>2361.052575</v>
      </c>
      <c r="P72" s="505"/>
    </row>
    <row r="73" spans="1:16" ht="22.5" customHeight="1">
      <c r="A73" s="445">
        <v>14</v>
      </c>
      <c r="B73" s="446">
        <v>15000</v>
      </c>
      <c r="C73" s="630" t="s">
        <v>347</v>
      </c>
      <c r="D73" s="447">
        <v>3425</v>
      </c>
      <c r="E73" s="448" t="s">
        <v>236</v>
      </c>
      <c r="F73" s="449">
        <v>1850</v>
      </c>
      <c r="G73" s="655">
        <f t="shared" si="8"/>
        <v>5556.032150000004</v>
      </c>
      <c r="H73" s="19">
        <f t="shared" si="9"/>
        <v>21582.100000000002</v>
      </c>
      <c r="I73" s="511">
        <f>Ctrl!$J$12</f>
        <v>414149</v>
      </c>
      <c r="J73" s="19"/>
      <c r="K73" s="21">
        <f t="shared" si="10"/>
        <v>12424.47</v>
      </c>
      <c r="L73" s="21">
        <f t="shared" si="11"/>
        <v>7040.533</v>
      </c>
      <c r="M73" s="21">
        <f t="shared" si="12"/>
        <v>6626.384</v>
      </c>
      <c r="N73" s="19">
        <f t="shared" si="13"/>
        <v>1242.4470000000001</v>
      </c>
      <c r="O73" s="505">
        <f t="shared" si="14"/>
        <v>2773.2998500000003</v>
      </c>
      <c r="P73" s="505"/>
    </row>
    <row r="74" spans="1:16" ht="22.5" customHeight="1">
      <c r="A74" s="39">
        <v>15</v>
      </c>
      <c r="B74" s="51">
        <v>15000</v>
      </c>
      <c r="C74" s="633" t="s">
        <v>31</v>
      </c>
      <c r="D74" s="58">
        <v>950</v>
      </c>
      <c r="E74" s="58" t="s">
        <v>147</v>
      </c>
      <c r="F74" s="99">
        <v>1005</v>
      </c>
      <c r="G74" s="586">
        <f t="shared" si="8"/>
        <v>4714.873594999999</v>
      </c>
      <c r="H74" s="19">
        <f t="shared" si="9"/>
        <v>11724.33</v>
      </c>
      <c r="I74" s="511">
        <f>Ctrl!$J$4</f>
        <v>171965</v>
      </c>
      <c r="J74" s="19"/>
      <c r="K74" s="21">
        <f t="shared" si="10"/>
        <v>5158.95</v>
      </c>
      <c r="L74" s="21">
        <f t="shared" si="11"/>
        <v>2923.405</v>
      </c>
      <c r="M74" s="21">
        <f t="shared" si="12"/>
        <v>2751.44</v>
      </c>
      <c r="N74" s="19">
        <f t="shared" si="13"/>
        <v>515.895</v>
      </c>
      <c r="O74" s="505">
        <f t="shared" si="14"/>
        <v>1506.576405</v>
      </c>
      <c r="P74" s="505"/>
    </row>
    <row r="75" spans="1:16" ht="22.5" customHeight="1">
      <c r="A75" s="39">
        <v>15</v>
      </c>
      <c r="B75" s="51">
        <v>15000</v>
      </c>
      <c r="C75" s="39" t="s">
        <v>264</v>
      </c>
      <c r="D75" s="58">
        <v>1380</v>
      </c>
      <c r="E75" s="58" t="s">
        <v>147</v>
      </c>
      <c r="F75" s="99">
        <v>1260</v>
      </c>
      <c r="G75" s="586">
        <f t="shared" si="8"/>
        <v>5804.26994</v>
      </c>
      <c r="H75" s="19">
        <f t="shared" si="9"/>
        <v>14699.16</v>
      </c>
      <c r="I75" s="511">
        <f>Ctrl!$J$6</f>
        <v>218939</v>
      </c>
      <c r="J75" s="19"/>
      <c r="K75" s="21">
        <f t="shared" si="10"/>
        <v>6568.17</v>
      </c>
      <c r="L75" s="21">
        <f t="shared" si="11"/>
        <v>3721.963</v>
      </c>
      <c r="M75" s="21">
        <f t="shared" si="12"/>
        <v>3503.024</v>
      </c>
      <c r="N75" s="19">
        <f t="shared" si="13"/>
        <v>656.817</v>
      </c>
      <c r="O75" s="505">
        <f t="shared" si="14"/>
        <v>1888.84206</v>
      </c>
      <c r="P75" s="505"/>
    </row>
    <row r="76" spans="1:16" ht="22.5" customHeight="1">
      <c r="A76" s="39">
        <v>15</v>
      </c>
      <c r="B76" s="51">
        <v>15000</v>
      </c>
      <c r="C76" s="633" t="s">
        <v>116</v>
      </c>
      <c r="D76" s="58">
        <v>1825</v>
      </c>
      <c r="E76" s="58" t="s">
        <v>147</v>
      </c>
      <c r="F76" s="99">
        <v>1515</v>
      </c>
      <c r="G76" s="617">
        <f t="shared" si="8"/>
        <v>7409.346285000003</v>
      </c>
      <c r="H76" s="19">
        <f t="shared" si="9"/>
        <v>17673.99</v>
      </c>
      <c r="I76" s="511">
        <f>Ctrl!$J$8</f>
        <v>249798</v>
      </c>
      <c r="J76" s="19"/>
      <c r="K76" s="21">
        <f t="shared" si="10"/>
        <v>7493.94</v>
      </c>
      <c r="L76" s="21">
        <f t="shared" si="11"/>
        <v>4246.566000000001</v>
      </c>
      <c r="M76" s="21">
        <f t="shared" si="12"/>
        <v>3996.768</v>
      </c>
      <c r="N76" s="19">
        <f t="shared" si="13"/>
        <v>749.394</v>
      </c>
      <c r="O76" s="505">
        <f t="shared" si="14"/>
        <v>2271.107715</v>
      </c>
      <c r="P76" s="505"/>
    </row>
    <row r="77" spans="1:16" ht="22.5" customHeight="1">
      <c r="A77" s="39">
        <v>15</v>
      </c>
      <c r="B77" s="51">
        <v>15000</v>
      </c>
      <c r="C77" s="633" t="s">
        <v>246</v>
      </c>
      <c r="D77" s="58">
        <v>2525</v>
      </c>
      <c r="E77" s="58" t="s">
        <v>147</v>
      </c>
      <c r="F77" s="99">
        <v>1625</v>
      </c>
      <c r="G77" s="586">
        <f t="shared" si="8"/>
        <v>6189.307375</v>
      </c>
      <c r="H77" s="19">
        <f t="shared" si="9"/>
        <v>18957.25</v>
      </c>
      <c r="I77" s="511">
        <f>Ctrl!$J$10</f>
        <v>322873</v>
      </c>
      <c r="J77" s="19"/>
      <c r="K77" s="21">
        <f t="shared" si="10"/>
        <v>9686.19</v>
      </c>
      <c r="L77" s="21">
        <f t="shared" si="11"/>
        <v>5488.841</v>
      </c>
      <c r="M77" s="21">
        <f t="shared" si="12"/>
        <v>5165.968</v>
      </c>
      <c r="N77" s="19">
        <f t="shared" si="13"/>
        <v>968.619</v>
      </c>
      <c r="O77" s="505">
        <f t="shared" si="14"/>
        <v>2436.006625</v>
      </c>
      <c r="P77" s="505"/>
    </row>
    <row r="78" spans="1:16" ht="22.5" customHeight="1">
      <c r="A78" s="39">
        <v>15</v>
      </c>
      <c r="B78" s="51">
        <v>15000</v>
      </c>
      <c r="C78" s="633" t="s">
        <v>347</v>
      </c>
      <c r="D78" s="58">
        <v>3425</v>
      </c>
      <c r="E78" s="58" t="s">
        <v>147</v>
      </c>
      <c r="F78" s="99">
        <v>1900</v>
      </c>
      <c r="G78" s="586">
        <f t="shared" si="8"/>
        <v>6064.3781000000035</v>
      </c>
      <c r="H78" s="19">
        <f t="shared" si="9"/>
        <v>22165.4</v>
      </c>
      <c r="I78" s="511">
        <f>Ctrl!$J$12</f>
        <v>414149</v>
      </c>
      <c r="J78" s="19"/>
      <c r="K78" s="21">
        <f t="shared" si="10"/>
        <v>12424.47</v>
      </c>
      <c r="L78" s="21">
        <f t="shared" si="11"/>
        <v>7040.533</v>
      </c>
      <c r="M78" s="21">
        <f t="shared" si="12"/>
        <v>6626.384</v>
      </c>
      <c r="N78" s="19">
        <f t="shared" si="13"/>
        <v>1242.4470000000001</v>
      </c>
      <c r="O78" s="505">
        <f t="shared" si="14"/>
        <v>2848.2539</v>
      </c>
      <c r="P78" s="505"/>
    </row>
    <row r="79" spans="1:16" ht="22.5" customHeight="1">
      <c r="A79" s="25">
        <v>16</v>
      </c>
      <c r="B79" s="37">
        <v>15000</v>
      </c>
      <c r="C79" s="627" t="s">
        <v>238</v>
      </c>
      <c r="D79" s="59">
        <v>950</v>
      </c>
      <c r="E79" s="59" t="s">
        <v>146</v>
      </c>
      <c r="F79" s="81">
        <v>1030</v>
      </c>
      <c r="G79" s="656">
        <f t="shared" si="8"/>
        <v>4969.046569999999</v>
      </c>
      <c r="H79" s="19">
        <f t="shared" si="9"/>
        <v>12015.98</v>
      </c>
      <c r="I79" s="511">
        <f>Ctrl!$J$4</f>
        <v>171965</v>
      </c>
      <c r="J79" s="19"/>
      <c r="K79" s="21">
        <f t="shared" si="10"/>
        <v>5158.95</v>
      </c>
      <c r="L79" s="21">
        <f t="shared" si="11"/>
        <v>2923.405</v>
      </c>
      <c r="M79" s="21">
        <f t="shared" si="12"/>
        <v>2751.44</v>
      </c>
      <c r="N79" s="19">
        <f t="shared" si="13"/>
        <v>515.895</v>
      </c>
      <c r="O79" s="505">
        <f t="shared" si="14"/>
        <v>1544.05343</v>
      </c>
      <c r="P79" s="505"/>
    </row>
    <row r="80" spans="1:16" ht="22.5" customHeight="1">
      <c r="A80" s="25">
        <v>16</v>
      </c>
      <c r="B80" s="37">
        <v>15000</v>
      </c>
      <c r="C80" s="25" t="s">
        <v>264</v>
      </c>
      <c r="D80" s="59">
        <v>1380</v>
      </c>
      <c r="E80" s="59" t="s">
        <v>146</v>
      </c>
      <c r="F80" s="81">
        <v>1285</v>
      </c>
      <c r="G80" s="656">
        <f t="shared" si="8"/>
        <v>6058.442915000001</v>
      </c>
      <c r="H80" s="19">
        <f t="shared" si="9"/>
        <v>14990.810000000001</v>
      </c>
      <c r="I80" s="511">
        <f>Ctrl!$J$6</f>
        <v>218939</v>
      </c>
      <c r="J80" s="19"/>
      <c r="K80" s="21">
        <f t="shared" si="10"/>
        <v>6568.17</v>
      </c>
      <c r="L80" s="21">
        <f t="shared" si="11"/>
        <v>3721.963</v>
      </c>
      <c r="M80" s="21">
        <f t="shared" si="12"/>
        <v>3503.024</v>
      </c>
      <c r="N80" s="19">
        <f t="shared" si="13"/>
        <v>656.817</v>
      </c>
      <c r="O80" s="505">
        <f t="shared" si="14"/>
        <v>1926.3190850000003</v>
      </c>
      <c r="P80" s="505"/>
    </row>
    <row r="81" spans="1:16" ht="22.5" customHeight="1">
      <c r="A81" s="25">
        <v>16</v>
      </c>
      <c r="B81" s="37">
        <v>15000</v>
      </c>
      <c r="C81" s="627" t="s">
        <v>116</v>
      </c>
      <c r="D81" s="59">
        <v>1825</v>
      </c>
      <c r="E81" s="59" t="s">
        <v>146</v>
      </c>
      <c r="F81" s="81">
        <v>1540</v>
      </c>
      <c r="G81" s="81">
        <f t="shared" si="8"/>
        <v>7663.519260000001</v>
      </c>
      <c r="H81" s="19">
        <f t="shared" si="9"/>
        <v>17965.64</v>
      </c>
      <c r="I81" s="511">
        <f>Ctrl!$J$8</f>
        <v>249798</v>
      </c>
      <c r="J81" s="19"/>
      <c r="K81" s="21">
        <f t="shared" si="10"/>
        <v>7493.94</v>
      </c>
      <c r="L81" s="21">
        <f t="shared" si="11"/>
        <v>4246.566000000001</v>
      </c>
      <c r="M81" s="21">
        <f t="shared" si="12"/>
        <v>3996.768</v>
      </c>
      <c r="N81" s="19">
        <f t="shared" si="13"/>
        <v>749.394</v>
      </c>
      <c r="O81" s="505">
        <f t="shared" si="14"/>
        <v>2308.58474</v>
      </c>
      <c r="P81" s="505"/>
    </row>
    <row r="82" spans="1:16" ht="22.5" customHeight="1">
      <c r="A82" s="25">
        <v>16</v>
      </c>
      <c r="B82" s="37">
        <v>15000</v>
      </c>
      <c r="C82" s="627" t="s">
        <v>246</v>
      </c>
      <c r="D82" s="59">
        <v>2525</v>
      </c>
      <c r="E82" s="59" t="s">
        <v>146</v>
      </c>
      <c r="F82" s="81">
        <v>1650</v>
      </c>
      <c r="G82" s="656">
        <f t="shared" si="8"/>
        <v>6443.480350000002</v>
      </c>
      <c r="H82" s="19">
        <f t="shared" si="9"/>
        <v>19248.9</v>
      </c>
      <c r="I82" s="511">
        <f>Ctrl!$J$10</f>
        <v>322873</v>
      </c>
      <c r="J82" s="19"/>
      <c r="K82" s="21">
        <f t="shared" si="10"/>
        <v>9686.19</v>
      </c>
      <c r="L82" s="21">
        <f t="shared" si="11"/>
        <v>5488.841</v>
      </c>
      <c r="M82" s="21">
        <f t="shared" si="12"/>
        <v>5165.968</v>
      </c>
      <c r="N82" s="19">
        <f t="shared" si="13"/>
        <v>968.619</v>
      </c>
      <c r="O82" s="505">
        <f t="shared" si="14"/>
        <v>2473.48365</v>
      </c>
      <c r="P82" s="505"/>
    </row>
    <row r="83" spans="1:16" ht="22.5" customHeight="1">
      <c r="A83" s="25">
        <v>16</v>
      </c>
      <c r="B83" s="37">
        <v>15000</v>
      </c>
      <c r="C83" s="627" t="s">
        <v>347</v>
      </c>
      <c r="D83" s="59">
        <v>3425</v>
      </c>
      <c r="E83" s="59" t="s">
        <v>146</v>
      </c>
      <c r="F83" s="81">
        <v>1925</v>
      </c>
      <c r="G83" s="656">
        <f t="shared" si="8"/>
        <v>6318.551075000001</v>
      </c>
      <c r="H83" s="19">
        <f t="shared" si="9"/>
        <v>22457.05</v>
      </c>
      <c r="I83" s="511">
        <f>Ctrl!$J$12</f>
        <v>414149</v>
      </c>
      <c r="J83" s="19"/>
      <c r="K83" s="21">
        <f t="shared" si="10"/>
        <v>12424.47</v>
      </c>
      <c r="L83" s="21">
        <f t="shared" si="11"/>
        <v>7040.533</v>
      </c>
      <c r="M83" s="21">
        <f t="shared" si="12"/>
        <v>6626.384</v>
      </c>
      <c r="N83" s="19">
        <f t="shared" si="13"/>
        <v>1242.4470000000001</v>
      </c>
      <c r="O83" s="505">
        <f t="shared" si="14"/>
        <v>2885.730925</v>
      </c>
      <c r="P83" s="505"/>
    </row>
    <row r="84" spans="1:16" ht="22.5" customHeight="1">
      <c r="A84" s="70">
        <v>17</v>
      </c>
      <c r="B84" s="71">
        <v>20000</v>
      </c>
      <c r="C84" s="620" t="s">
        <v>238</v>
      </c>
      <c r="D84" s="574">
        <v>950</v>
      </c>
      <c r="E84" s="574" t="s">
        <v>37</v>
      </c>
      <c r="F84" s="80">
        <v>1000</v>
      </c>
      <c r="G84" s="652">
        <f t="shared" si="8"/>
        <v>4664.038999999999</v>
      </c>
      <c r="H84" s="19">
        <f t="shared" si="9"/>
        <v>11666</v>
      </c>
      <c r="I84" s="511">
        <f>Ctrl!$J$4</f>
        <v>171965</v>
      </c>
      <c r="J84" s="19"/>
      <c r="K84" s="21">
        <f t="shared" si="10"/>
        <v>5158.95</v>
      </c>
      <c r="L84" s="21">
        <f t="shared" si="11"/>
        <v>2923.405</v>
      </c>
      <c r="M84" s="21">
        <f t="shared" si="12"/>
        <v>2751.44</v>
      </c>
      <c r="N84" s="19">
        <f t="shared" si="13"/>
        <v>515.895</v>
      </c>
      <c r="O84" s="505">
        <f t="shared" si="14"/>
        <v>1499.0810000000001</v>
      </c>
      <c r="P84" s="505"/>
    </row>
    <row r="85" spans="1:16" ht="22.5" customHeight="1">
      <c r="A85" s="70">
        <v>17</v>
      </c>
      <c r="B85" s="71">
        <v>20000</v>
      </c>
      <c r="C85" s="70" t="s">
        <v>264</v>
      </c>
      <c r="D85" s="574">
        <v>1380</v>
      </c>
      <c r="E85" s="574" t="s">
        <v>37</v>
      </c>
      <c r="F85" s="80">
        <v>1260</v>
      </c>
      <c r="G85" s="652">
        <f t="shared" si="8"/>
        <v>5804.26994</v>
      </c>
      <c r="H85" s="19">
        <f t="shared" si="9"/>
        <v>14699.16</v>
      </c>
      <c r="I85" s="511">
        <f>Ctrl!$J$6</f>
        <v>218939</v>
      </c>
      <c r="J85" s="19"/>
      <c r="K85" s="21">
        <f t="shared" si="10"/>
        <v>6568.17</v>
      </c>
      <c r="L85" s="21">
        <f t="shared" si="11"/>
        <v>3721.963</v>
      </c>
      <c r="M85" s="21">
        <f t="shared" si="12"/>
        <v>3503.024</v>
      </c>
      <c r="N85" s="19">
        <f t="shared" si="13"/>
        <v>656.817</v>
      </c>
      <c r="O85" s="505">
        <f t="shared" si="14"/>
        <v>1888.84206</v>
      </c>
      <c r="P85" s="505"/>
    </row>
    <row r="86" spans="1:16" ht="22.5" customHeight="1">
      <c r="A86" s="70">
        <v>17</v>
      </c>
      <c r="B86" s="71">
        <v>20000</v>
      </c>
      <c r="C86" s="620" t="s">
        <v>116</v>
      </c>
      <c r="D86" s="574">
        <v>1825</v>
      </c>
      <c r="E86" s="574" t="s">
        <v>37</v>
      </c>
      <c r="F86" s="80">
        <v>1525</v>
      </c>
      <c r="G86" s="80">
        <f t="shared" si="8"/>
        <v>7511.015475000003</v>
      </c>
      <c r="H86" s="19">
        <f t="shared" si="9"/>
        <v>17790.65</v>
      </c>
      <c r="I86" s="511">
        <f>Ctrl!$J$8</f>
        <v>249798</v>
      </c>
      <c r="J86" s="19"/>
      <c r="K86" s="21">
        <f t="shared" si="10"/>
        <v>7493.94</v>
      </c>
      <c r="L86" s="21">
        <f t="shared" si="11"/>
        <v>4246.566000000001</v>
      </c>
      <c r="M86" s="21">
        <f t="shared" si="12"/>
        <v>3996.768</v>
      </c>
      <c r="N86" s="19">
        <f t="shared" si="13"/>
        <v>749.394</v>
      </c>
      <c r="O86" s="505">
        <f t="shared" si="14"/>
        <v>2286.0985250000003</v>
      </c>
      <c r="P86" s="505"/>
    </row>
    <row r="87" spans="1:16" ht="22.5" customHeight="1">
      <c r="A87" s="70">
        <v>17</v>
      </c>
      <c r="B87" s="71">
        <v>20000</v>
      </c>
      <c r="C87" s="620" t="s">
        <v>246</v>
      </c>
      <c r="D87" s="574">
        <v>2525</v>
      </c>
      <c r="E87" s="574" t="s">
        <v>37</v>
      </c>
      <c r="F87" s="80">
        <v>1650</v>
      </c>
      <c r="G87" s="652">
        <f t="shared" si="8"/>
        <v>6443.480350000002</v>
      </c>
      <c r="H87" s="19">
        <f t="shared" si="9"/>
        <v>19248.9</v>
      </c>
      <c r="I87" s="511">
        <f>Ctrl!$J$10</f>
        <v>322873</v>
      </c>
      <c r="J87" s="19"/>
      <c r="K87" s="21">
        <f t="shared" si="10"/>
        <v>9686.19</v>
      </c>
      <c r="L87" s="21">
        <f t="shared" si="11"/>
        <v>5488.841</v>
      </c>
      <c r="M87" s="21">
        <f t="shared" si="12"/>
        <v>5165.968</v>
      </c>
      <c r="N87" s="19">
        <f t="shared" si="13"/>
        <v>968.619</v>
      </c>
      <c r="O87" s="505">
        <f t="shared" si="14"/>
        <v>2473.48365</v>
      </c>
      <c r="P87" s="505"/>
    </row>
    <row r="88" spans="1:16" ht="22.5" customHeight="1">
      <c r="A88" s="70">
        <v>17</v>
      </c>
      <c r="B88" s="71">
        <v>20000</v>
      </c>
      <c r="C88" s="620" t="s">
        <v>84</v>
      </c>
      <c r="D88" s="574">
        <v>3425</v>
      </c>
      <c r="E88" s="574" t="s">
        <v>37</v>
      </c>
      <c r="F88" s="80">
        <v>1925</v>
      </c>
      <c r="G88" s="652">
        <f t="shared" si="8"/>
        <v>6318.551075000001</v>
      </c>
      <c r="H88" s="19">
        <f t="shared" si="9"/>
        <v>22457.05</v>
      </c>
      <c r="I88" s="511">
        <f>Ctrl!$J$12</f>
        <v>414149</v>
      </c>
      <c r="J88" s="19"/>
      <c r="K88" s="21">
        <f t="shared" si="10"/>
        <v>12424.47</v>
      </c>
      <c r="L88" s="21">
        <f t="shared" si="11"/>
        <v>7040.533</v>
      </c>
      <c r="M88" s="21">
        <f t="shared" si="12"/>
        <v>6626.384</v>
      </c>
      <c r="N88" s="19">
        <f t="shared" si="13"/>
        <v>1242.4470000000001</v>
      </c>
      <c r="O88" s="505">
        <f t="shared" si="14"/>
        <v>2885.730925</v>
      </c>
      <c r="P88" s="505"/>
    </row>
    <row r="89" spans="1:16" ht="22.5" customHeight="1">
      <c r="A89" s="36">
        <v>18</v>
      </c>
      <c r="B89" s="55">
        <v>20000</v>
      </c>
      <c r="C89" s="624" t="s">
        <v>31</v>
      </c>
      <c r="D89" s="575">
        <v>950</v>
      </c>
      <c r="E89" s="57" t="s">
        <v>145</v>
      </c>
      <c r="F89" s="77">
        <v>950</v>
      </c>
      <c r="G89" s="77">
        <f t="shared" si="8"/>
        <v>4155.69305</v>
      </c>
      <c r="H89" s="19">
        <f t="shared" si="9"/>
        <v>11082.7</v>
      </c>
      <c r="I89" s="511">
        <f>Ctrl!$J$4</f>
        <v>171965</v>
      </c>
      <c r="J89" s="19"/>
      <c r="K89" s="21">
        <f t="shared" si="10"/>
        <v>5158.95</v>
      </c>
      <c r="L89" s="21">
        <f t="shared" si="11"/>
        <v>2923.405</v>
      </c>
      <c r="M89" s="21">
        <f t="shared" si="12"/>
        <v>2751.44</v>
      </c>
      <c r="N89" s="19">
        <f t="shared" si="13"/>
        <v>515.895</v>
      </c>
      <c r="O89" s="505">
        <f t="shared" si="14"/>
        <v>1424.12695</v>
      </c>
      <c r="P89" s="505"/>
    </row>
    <row r="90" spans="1:16" ht="22.5" customHeight="1">
      <c r="A90" s="36">
        <v>18</v>
      </c>
      <c r="B90" s="55">
        <v>20000</v>
      </c>
      <c r="C90" s="36" t="s">
        <v>264</v>
      </c>
      <c r="D90" s="57">
        <v>1380</v>
      </c>
      <c r="E90" s="57" t="s">
        <v>145</v>
      </c>
      <c r="F90" s="77">
        <v>1210</v>
      </c>
      <c r="G90" s="77">
        <f t="shared" si="8"/>
        <v>5295.923990000001</v>
      </c>
      <c r="H90" s="19">
        <f t="shared" si="9"/>
        <v>14115.86</v>
      </c>
      <c r="I90" s="511">
        <f>Ctrl!$J$6</f>
        <v>218939</v>
      </c>
      <c r="J90" s="19"/>
      <c r="K90" s="21">
        <f t="shared" si="10"/>
        <v>6568.17</v>
      </c>
      <c r="L90" s="21">
        <f t="shared" si="11"/>
        <v>3721.963</v>
      </c>
      <c r="M90" s="21">
        <f t="shared" si="12"/>
        <v>3503.024</v>
      </c>
      <c r="N90" s="19">
        <f t="shared" si="13"/>
        <v>656.817</v>
      </c>
      <c r="O90" s="505">
        <f t="shared" si="14"/>
        <v>1813.8880100000001</v>
      </c>
      <c r="P90" s="505"/>
    </row>
    <row r="91" spans="1:16" ht="22.5" customHeight="1">
      <c r="A91" s="36">
        <v>18</v>
      </c>
      <c r="B91" s="52">
        <v>20000</v>
      </c>
      <c r="C91" s="624" t="s">
        <v>116</v>
      </c>
      <c r="D91" s="57">
        <v>1825</v>
      </c>
      <c r="E91" s="57" t="s">
        <v>145</v>
      </c>
      <c r="F91" s="77">
        <v>1475</v>
      </c>
      <c r="G91" s="77">
        <f t="shared" si="8"/>
        <v>7002.669525000003</v>
      </c>
      <c r="H91" s="19">
        <f t="shared" si="9"/>
        <v>17207.350000000002</v>
      </c>
      <c r="I91" s="511">
        <f>Ctrl!$J$8</f>
        <v>249798</v>
      </c>
      <c r="J91" s="19"/>
      <c r="K91" s="21">
        <f t="shared" si="10"/>
        <v>7493.94</v>
      </c>
      <c r="L91" s="21">
        <f t="shared" si="11"/>
        <v>4246.566000000001</v>
      </c>
      <c r="M91" s="21">
        <f t="shared" si="12"/>
        <v>3996.768</v>
      </c>
      <c r="N91" s="19">
        <f t="shared" si="13"/>
        <v>749.394</v>
      </c>
      <c r="O91" s="505">
        <f t="shared" si="14"/>
        <v>2211.1444750000005</v>
      </c>
      <c r="P91" s="505"/>
    </row>
    <row r="92" spans="1:16" ht="22.5" customHeight="1">
      <c r="A92" s="36">
        <v>18</v>
      </c>
      <c r="B92" s="55">
        <v>20000</v>
      </c>
      <c r="C92" s="624" t="s">
        <v>246</v>
      </c>
      <c r="D92" s="57">
        <v>2525</v>
      </c>
      <c r="E92" s="57" t="s">
        <v>145</v>
      </c>
      <c r="F92" s="77">
        <v>1600</v>
      </c>
      <c r="G92" s="77">
        <f t="shared" si="8"/>
        <v>5935.134400000003</v>
      </c>
      <c r="H92" s="19">
        <f t="shared" si="9"/>
        <v>18665.600000000002</v>
      </c>
      <c r="I92" s="511">
        <f>Ctrl!$J$10</f>
        <v>322873</v>
      </c>
      <c r="J92" s="19"/>
      <c r="K92" s="21">
        <f t="shared" si="10"/>
        <v>9686.19</v>
      </c>
      <c r="L92" s="21">
        <f t="shared" si="11"/>
        <v>5488.841</v>
      </c>
      <c r="M92" s="21">
        <f t="shared" si="12"/>
        <v>5165.968</v>
      </c>
      <c r="N92" s="19">
        <f t="shared" si="13"/>
        <v>968.619</v>
      </c>
      <c r="O92" s="505">
        <f t="shared" si="14"/>
        <v>2398.5296000000003</v>
      </c>
      <c r="P92" s="505"/>
    </row>
    <row r="93" spans="1:17" ht="22.5" customHeight="1">
      <c r="A93" s="36">
        <v>18</v>
      </c>
      <c r="B93" s="55">
        <v>20000</v>
      </c>
      <c r="C93" s="624" t="s">
        <v>347</v>
      </c>
      <c r="D93" s="57">
        <v>3425</v>
      </c>
      <c r="E93" s="57" t="s">
        <v>145</v>
      </c>
      <c r="F93" s="77">
        <v>1875</v>
      </c>
      <c r="G93" s="77">
        <f t="shared" si="8"/>
        <v>5810.205125000002</v>
      </c>
      <c r="H93" s="19">
        <f t="shared" si="9"/>
        <v>21873.75</v>
      </c>
      <c r="I93" s="511">
        <f>Ctrl!$J$12</f>
        <v>414149</v>
      </c>
      <c r="J93" s="19"/>
      <c r="K93" s="21">
        <f t="shared" si="10"/>
        <v>12424.47</v>
      </c>
      <c r="L93" s="21">
        <f t="shared" si="11"/>
        <v>7040.533</v>
      </c>
      <c r="M93" s="21">
        <f t="shared" si="12"/>
        <v>6626.384</v>
      </c>
      <c r="N93" s="19">
        <f t="shared" si="13"/>
        <v>1242.4470000000001</v>
      </c>
      <c r="O93" s="505">
        <f t="shared" si="14"/>
        <v>2810.776875</v>
      </c>
      <c r="Q93" s="507"/>
    </row>
    <row r="94" spans="1:16" ht="22.5" customHeight="1">
      <c r="A94" s="445">
        <v>19</v>
      </c>
      <c r="B94" s="446">
        <v>20000</v>
      </c>
      <c r="C94" s="630" t="s">
        <v>31</v>
      </c>
      <c r="D94" s="447">
        <v>950</v>
      </c>
      <c r="E94" s="448" t="s">
        <v>363</v>
      </c>
      <c r="F94" s="449">
        <v>975</v>
      </c>
      <c r="G94" s="655">
        <f t="shared" si="8"/>
        <v>4409.866024999999</v>
      </c>
      <c r="H94" s="19">
        <f t="shared" si="9"/>
        <v>11374.35</v>
      </c>
      <c r="I94" s="511">
        <f>Ctrl!$J$4</f>
        <v>171965</v>
      </c>
      <c r="J94" s="19"/>
      <c r="K94" s="21">
        <f t="shared" si="10"/>
        <v>5158.95</v>
      </c>
      <c r="L94" s="21">
        <f t="shared" si="11"/>
        <v>2923.405</v>
      </c>
      <c r="M94" s="21">
        <f t="shared" si="12"/>
        <v>2751.44</v>
      </c>
      <c r="N94" s="19">
        <f t="shared" si="13"/>
        <v>515.895</v>
      </c>
      <c r="O94" s="505">
        <f t="shared" si="14"/>
        <v>1461.603975</v>
      </c>
      <c r="P94" s="505"/>
    </row>
    <row r="95" spans="1:16" ht="22.5" customHeight="1">
      <c r="A95" s="445">
        <v>19</v>
      </c>
      <c r="B95" s="446">
        <v>20000</v>
      </c>
      <c r="C95" s="445" t="s">
        <v>264</v>
      </c>
      <c r="D95" s="447">
        <v>1380</v>
      </c>
      <c r="E95" s="448" t="s">
        <v>363</v>
      </c>
      <c r="F95" s="449">
        <v>1235</v>
      </c>
      <c r="G95" s="655">
        <f t="shared" si="8"/>
        <v>5550.096965000001</v>
      </c>
      <c r="H95" s="19">
        <f t="shared" si="9"/>
        <v>14407.51</v>
      </c>
      <c r="I95" s="511">
        <f>Ctrl!$J$6</f>
        <v>218939</v>
      </c>
      <c r="J95" s="19"/>
      <c r="K95" s="21">
        <f t="shared" si="10"/>
        <v>6568.17</v>
      </c>
      <c r="L95" s="21">
        <f t="shared" si="11"/>
        <v>3721.963</v>
      </c>
      <c r="M95" s="21">
        <f t="shared" si="12"/>
        <v>3503.024</v>
      </c>
      <c r="N95" s="19">
        <f t="shared" si="13"/>
        <v>656.817</v>
      </c>
      <c r="O95" s="505">
        <f t="shared" si="14"/>
        <v>1851.365035</v>
      </c>
      <c r="P95" s="505"/>
    </row>
    <row r="96" spans="1:16" ht="22.5" customHeight="1">
      <c r="A96" s="445">
        <v>19</v>
      </c>
      <c r="B96" s="446">
        <v>20000</v>
      </c>
      <c r="C96" s="630" t="s">
        <v>116</v>
      </c>
      <c r="D96" s="447">
        <v>1825</v>
      </c>
      <c r="E96" s="448" t="s">
        <v>363</v>
      </c>
      <c r="F96" s="449">
        <v>1500</v>
      </c>
      <c r="G96" s="616">
        <f t="shared" si="8"/>
        <v>7256.842500000002</v>
      </c>
      <c r="H96" s="19">
        <f t="shared" si="9"/>
        <v>17499</v>
      </c>
      <c r="I96" s="511">
        <f>Ctrl!$J$8</f>
        <v>249798</v>
      </c>
      <c r="J96" s="19"/>
      <c r="K96" s="21">
        <f t="shared" si="10"/>
        <v>7493.94</v>
      </c>
      <c r="L96" s="21">
        <f t="shared" si="11"/>
        <v>4246.566000000001</v>
      </c>
      <c r="M96" s="21">
        <f t="shared" si="12"/>
        <v>3996.768</v>
      </c>
      <c r="N96" s="19">
        <f t="shared" si="13"/>
        <v>749.394</v>
      </c>
      <c r="O96" s="505">
        <f t="shared" si="14"/>
        <v>2248.6215</v>
      </c>
      <c r="P96" s="505"/>
    </row>
    <row r="97" spans="1:16" ht="22.5" customHeight="1">
      <c r="A97" s="445">
        <v>19</v>
      </c>
      <c r="B97" s="446">
        <v>20000</v>
      </c>
      <c r="C97" s="630" t="s">
        <v>246</v>
      </c>
      <c r="D97" s="447">
        <v>2525</v>
      </c>
      <c r="E97" s="448" t="s">
        <v>363</v>
      </c>
      <c r="F97" s="449">
        <v>1625</v>
      </c>
      <c r="G97" s="655">
        <f t="shared" si="8"/>
        <v>6189.307375</v>
      </c>
      <c r="H97" s="19">
        <f t="shared" si="9"/>
        <v>18957.25</v>
      </c>
      <c r="I97" s="511">
        <f>Ctrl!$J$10</f>
        <v>322873</v>
      </c>
      <c r="J97" s="19"/>
      <c r="K97" s="21">
        <f t="shared" si="10"/>
        <v>9686.19</v>
      </c>
      <c r="L97" s="21">
        <f t="shared" si="11"/>
        <v>5488.841</v>
      </c>
      <c r="M97" s="21">
        <f t="shared" si="12"/>
        <v>5165.968</v>
      </c>
      <c r="N97" s="19">
        <f t="shared" si="13"/>
        <v>968.619</v>
      </c>
      <c r="O97" s="505">
        <f t="shared" si="14"/>
        <v>2436.006625</v>
      </c>
      <c r="P97" s="505"/>
    </row>
    <row r="98" spans="1:17" ht="22.5" customHeight="1">
      <c r="A98" s="445">
        <v>19</v>
      </c>
      <c r="B98" s="446">
        <v>20000</v>
      </c>
      <c r="C98" s="630" t="s">
        <v>347</v>
      </c>
      <c r="D98" s="447">
        <v>3425</v>
      </c>
      <c r="E98" s="448" t="s">
        <v>363</v>
      </c>
      <c r="F98" s="449">
        <v>1900</v>
      </c>
      <c r="G98" s="655">
        <f t="shared" si="8"/>
        <v>6064.3781000000035</v>
      </c>
      <c r="H98" s="19">
        <f t="shared" si="9"/>
        <v>22165.4</v>
      </c>
      <c r="I98" s="511">
        <f>Ctrl!$J$12</f>
        <v>414149</v>
      </c>
      <c r="J98" s="19"/>
      <c r="K98" s="21">
        <f t="shared" si="10"/>
        <v>12424.47</v>
      </c>
      <c r="L98" s="21">
        <f t="shared" si="11"/>
        <v>7040.533</v>
      </c>
      <c r="M98" s="21">
        <f t="shared" si="12"/>
        <v>6626.384</v>
      </c>
      <c r="N98" s="19">
        <f t="shared" si="13"/>
        <v>1242.4470000000001</v>
      </c>
      <c r="O98" s="505">
        <f t="shared" si="14"/>
        <v>2848.2539</v>
      </c>
      <c r="Q98" s="507"/>
    </row>
    <row r="99" spans="1:16" ht="22.5" customHeight="1">
      <c r="A99" s="38">
        <v>20</v>
      </c>
      <c r="B99" s="51">
        <v>20000</v>
      </c>
      <c r="C99" s="633" t="s">
        <v>31</v>
      </c>
      <c r="D99" s="58">
        <v>950</v>
      </c>
      <c r="E99" s="58" t="s">
        <v>147</v>
      </c>
      <c r="F99" s="99">
        <v>1025</v>
      </c>
      <c r="G99" s="586">
        <f t="shared" si="8"/>
        <v>4918.211974999998</v>
      </c>
      <c r="H99" s="19">
        <f t="shared" si="9"/>
        <v>11957.65</v>
      </c>
      <c r="I99" s="511">
        <f>Ctrl!$J$4</f>
        <v>171965</v>
      </c>
      <c r="J99" s="19"/>
      <c r="K99" s="21">
        <f t="shared" si="10"/>
        <v>5158.95</v>
      </c>
      <c r="L99" s="21">
        <f t="shared" si="11"/>
        <v>2923.405</v>
      </c>
      <c r="M99" s="21">
        <f t="shared" si="12"/>
        <v>2751.44</v>
      </c>
      <c r="N99" s="19">
        <f t="shared" si="13"/>
        <v>515.895</v>
      </c>
      <c r="O99" s="505">
        <f t="shared" si="14"/>
        <v>1536.558025</v>
      </c>
      <c r="P99" s="505"/>
    </row>
    <row r="100" spans="1:16" ht="22.5" customHeight="1">
      <c r="A100" s="38">
        <v>20</v>
      </c>
      <c r="B100" s="51">
        <v>20000</v>
      </c>
      <c r="C100" s="39" t="s">
        <v>264</v>
      </c>
      <c r="D100" s="58">
        <v>1380</v>
      </c>
      <c r="E100" s="58" t="s">
        <v>147</v>
      </c>
      <c r="F100" s="99">
        <v>1285</v>
      </c>
      <c r="G100" s="586">
        <f t="shared" si="8"/>
        <v>6058.442915000001</v>
      </c>
      <c r="H100" s="19">
        <f t="shared" si="9"/>
        <v>14990.810000000001</v>
      </c>
      <c r="I100" s="511">
        <f>Ctrl!$J$6</f>
        <v>218939</v>
      </c>
      <c r="J100" s="19"/>
      <c r="K100" s="21">
        <f t="shared" si="10"/>
        <v>6568.17</v>
      </c>
      <c r="L100" s="21">
        <f t="shared" si="11"/>
        <v>3721.963</v>
      </c>
      <c r="M100" s="21">
        <f t="shared" si="12"/>
        <v>3503.024</v>
      </c>
      <c r="N100" s="19">
        <f aca="true" t="shared" si="15" ref="N100:N112">$N$2*I100</f>
        <v>656.817</v>
      </c>
      <c r="O100" s="505">
        <f t="shared" si="14"/>
        <v>1926.3190850000003</v>
      </c>
      <c r="P100" s="505"/>
    </row>
    <row r="101" spans="1:16" ht="22.5" customHeight="1">
      <c r="A101" s="38">
        <v>20</v>
      </c>
      <c r="B101" s="51">
        <v>20000</v>
      </c>
      <c r="C101" s="633" t="s">
        <v>116</v>
      </c>
      <c r="D101" s="58">
        <v>1825</v>
      </c>
      <c r="E101" s="58" t="s">
        <v>147</v>
      </c>
      <c r="F101" s="99">
        <v>1550</v>
      </c>
      <c r="G101" s="617">
        <f t="shared" si="8"/>
        <v>7765.1884500000015</v>
      </c>
      <c r="H101" s="19">
        <f t="shared" si="9"/>
        <v>18082.3</v>
      </c>
      <c r="I101" s="511">
        <f>Ctrl!$J$8</f>
        <v>249798</v>
      </c>
      <c r="J101" s="19"/>
      <c r="K101" s="21">
        <f t="shared" si="10"/>
        <v>7493.94</v>
      </c>
      <c r="L101" s="21">
        <f t="shared" si="11"/>
        <v>4246.566000000001</v>
      </c>
      <c r="M101" s="21">
        <f t="shared" si="12"/>
        <v>3996.768</v>
      </c>
      <c r="N101" s="19">
        <f t="shared" si="15"/>
        <v>749.394</v>
      </c>
      <c r="O101" s="505">
        <f t="shared" si="14"/>
        <v>2323.57555</v>
      </c>
      <c r="P101" s="505"/>
    </row>
    <row r="102" spans="1:16" ht="22.5" customHeight="1">
      <c r="A102" s="38">
        <v>20</v>
      </c>
      <c r="B102" s="51">
        <v>20000</v>
      </c>
      <c r="C102" s="633" t="s">
        <v>246</v>
      </c>
      <c r="D102" s="58">
        <v>2525</v>
      </c>
      <c r="E102" s="58" t="s">
        <v>147</v>
      </c>
      <c r="F102" s="99">
        <v>1675</v>
      </c>
      <c r="G102" s="586">
        <f t="shared" si="8"/>
        <v>6697.653324999999</v>
      </c>
      <c r="H102" s="19">
        <f t="shared" si="9"/>
        <v>19540.55</v>
      </c>
      <c r="I102" s="511">
        <f>Ctrl!$J$10</f>
        <v>322873</v>
      </c>
      <c r="J102" s="19"/>
      <c r="K102" s="21">
        <f t="shared" si="10"/>
        <v>9686.19</v>
      </c>
      <c r="L102" s="21">
        <f t="shared" si="11"/>
        <v>5488.841</v>
      </c>
      <c r="M102" s="21">
        <f t="shared" si="12"/>
        <v>5165.968</v>
      </c>
      <c r="N102" s="19">
        <f t="shared" si="15"/>
        <v>968.619</v>
      </c>
      <c r="O102" s="505">
        <f t="shared" si="14"/>
        <v>2510.960675</v>
      </c>
      <c r="P102" s="505"/>
    </row>
    <row r="103" spans="1:17" ht="22.5" customHeight="1">
      <c r="A103" s="39">
        <v>20</v>
      </c>
      <c r="B103" s="51">
        <v>20000</v>
      </c>
      <c r="C103" s="633" t="s">
        <v>84</v>
      </c>
      <c r="D103" s="58">
        <v>3425</v>
      </c>
      <c r="E103" s="58" t="s">
        <v>147</v>
      </c>
      <c r="F103" s="99">
        <v>1950</v>
      </c>
      <c r="G103" s="586">
        <f t="shared" si="8"/>
        <v>6572.7240500000025</v>
      </c>
      <c r="H103" s="19">
        <f t="shared" si="9"/>
        <v>22748.7</v>
      </c>
      <c r="I103" s="511">
        <f>Ctrl!$J$12</f>
        <v>414149</v>
      </c>
      <c r="J103" s="19"/>
      <c r="K103" s="21">
        <f t="shared" si="10"/>
        <v>12424.47</v>
      </c>
      <c r="L103" s="21">
        <f t="shared" si="11"/>
        <v>7040.533</v>
      </c>
      <c r="M103" s="21">
        <f t="shared" si="12"/>
        <v>6626.384</v>
      </c>
      <c r="N103" s="19">
        <f t="shared" si="15"/>
        <v>1242.4470000000001</v>
      </c>
      <c r="O103" s="505">
        <f t="shared" si="14"/>
        <v>2923.20795</v>
      </c>
      <c r="Q103" s="507"/>
    </row>
    <row r="104" spans="1:16" ht="22.5" customHeight="1">
      <c r="A104" s="25">
        <v>21</v>
      </c>
      <c r="B104" s="37">
        <v>20000</v>
      </c>
      <c r="C104" s="631" t="s">
        <v>238</v>
      </c>
      <c r="D104" s="59">
        <v>950</v>
      </c>
      <c r="E104" s="576" t="s">
        <v>146</v>
      </c>
      <c r="F104" s="81">
        <v>1050</v>
      </c>
      <c r="G104" s="656">
        <f t="shared" si="8"/>
        <v>5172.38495</v>
      </c>
      <c r="H104" s="19">
        <f t="shared" si="9"/>
        <v>12249.300000000001</v>
      </c>
      <c r="I104" s="511">
        <f>Ctrl!$J$4</f>
        <v>171965</v>
      </c>
      <c r="J104" s="19"/>
      <c r="K104" s="21">
        <f t="shared" si="10"/>
        <v>5158.95</v>
      </c>
      <c r="L104" s="21">
        <f t="shared" si="11"/>
        <v>2923.405</v>
      </c>
      <c r="M104" s="21">
        <f t="shared" si="12"/>
        <v>2751.44</v>
      </c>
      <c r="N104" s="19">
        <f t="shared" si="15"/>
        <v>515.895</v>
      </c>
      <c r="O104" s="505">
        <f t="shared" si="14"/>
        <v>1574.0350500000002</v>
      </c>
      <c r="P104" s="505"/>
    </row>
    <row r="105" spans="1:16" ht="22.5" customHeight="1">
      <c r="A105" s="25">
        <v>21</v>
      </c>
      <c r="B105" s="37">
        <v>20000</v>
      </c>
      <c r="C105" s="25" t="s">
        <v>264</v>
      </c>
      <c r="D105" s="59">
        <v>1380</v>
      </c>
      <c r="E105" s="576" t="s">
        <v>146</v>
      </c>
      <c r="F105" s="81">
        <v>1310</v>
      </c>
      <c r="G105" s="656">
        <f t="shared" si="8"/>
        <v>6312.61589</v>
      </c>
      <c r="H105" s="19">
        <f t="shared" si="9"/>
        <v>15282.460000000001</v>
      </c>
      <c r="I105" s="511">
        <f>Ctrl!$J$6</f>
        <v>218939</v>
      </c>
      <c r="J105" s="19"/>
      <c r="K105" s="21">
        <f t="shared" si="10"/>
        <v>6568.17</v>
      </c>
      <c r="L105" s="21">
        <f t="shared" si="11"/>
        <v>3721.963</v>
      </c>
      <c r="M105" s="21">
        <f t="shared" si="12"/>
        <v>3503.024</v>
      </c>
      <c r="N105" s="19">
        <f t="shared" si="15"/>
        <v>656.817</v>
      </c>
      <c r="O105" s="505">
        <f t="shared" si="14"/>
        <v>1963.7961100000002</v>
      </c>
      <c r="P105" s="505"/>
    </row>
    <row r="106" spans="1:16" ht="22.5" customHeight="1">
      <c r="A106" s="25">
        <v>21</v>
      </c>
      <c r="B106" s="53">
        <v>20000</v>
      </c>
      <c r="C106" s="627" t="s">
        <v>116</v>
      </c>
      <c r="D106" s="59">
        <v>1825</v>
      </c>
      <c r="E106" s="576" t="s">
        <v>146</v>
      </c>
      <c r="F106" s="81">
        <v>1575</v>
      </c>
      <c r="G106" s="81">
        <f t="shared" si="8"/>
        <v>8019.361425000003</v>
      </c>
      <c r="H106" s="19">
        <f t="shared" si="9"/>
        <v>18373.95</v>
      </c>
      <c r="I106" s="511">
        <f>Ctrl!$J$8</f>
        <v>249798</v>
      </c>
      <c r="J106" s="19"/>
      <c r="K106" s="21">
        <f t="shared" si="10"/>
        <v>7493.94</v>
      </c>
      <c r="L106" s="21">
        <f t="shared" si="11"/>
        <v>4246.566000000001</v>
      </c>
      <c r="M106" s="21">
        <f t="shared" si="12"/>
        <v>3996.768</v>
      </c>
      <c r="N106" s="19">
        <f t="shared" si="15"/>
        <v>749.394</v>
      </c>
      <c r="O106" s="505">
        <f t="shared" si="14"/>
        <v>2361.052575</v>
      </c>
      <c r="P106" s="505"/>
    </row>
    <row r="107" spans="1:16" ht="22.5" customHeight="1">
      <c r="A107" s="25">
        <v>21</v>
      </c>
      <c r="B107" s="37">
        <v>20000</v>
      </c>
      <c r="C107" s="627" t="s">
        <v>246</v>
      </c>
      <c r="D107" s="59">
        <v>2525</v>
      </c>
      <c r="E107" s="576" t="s">
        <v>146</v>
      </c>
      <c r="F107" s="81">
        <v>1700</v>
      </c>
      <c r="G107" s="656">
        <f t="shared" si="8"/>
        <v>6951.826300000001</v>
      </c>
      <c r="H107" s="19">
        <f t="shared" si="9"/>
        <v>19832.2</v>
      </c>
      <c r="I107" s="511">
        <f>Ctrl!$J$10</f>
        <v>322873</v>
      </c>
      <c r="J107" s="19"/>
      <c r="K107" s="21">
        <f t="shared" si="10"/>
        <v>9686.19</v>
      </c>
      <c r="L107" s="21">
        <f t="shared" si="11"/>
        <v>5488.841</v>
      </c>
      <c r="M107" s="21">
        <f t="shared" si="12"/>
        <v>5165.968</v>
      </c>
      <c r="N107" s="19">
        <f t="shared" si="15"/>
        <v>968.619</v>
      </c>
      <c r="O107" s="505">
        <f t="shared" si="14"/>
        <v>2548.4377</v>
      </c>
      <c r="P107" s="505"/>
    </row>
    <row r="108" spans="1:16" ht="22.5" customHeight="1">
      <c r="A108" s="25">
        <v>21</v>
      </c>
      <c r="B108" s="37">
        <v>20000</v>
      </c>
      <c r="C108" s="627" t="s">
        <v>347</v>
      </c>
      <c r="D108" s="59">
        <v>3425</v>
      </c>
      <c r="E108" s="59" t="s">
        <v>146</v>
      </c>
      <c r="F108" s="81">
        <v>1975</v>
      </c>
      <c r="G108" s="656">
        <f t="shared" si="8"/>
        <v>6826.897025000004</v>
      </c>
      <c r="H108" s="19">
        <f t="shared" si="9"/>
        <v>23040.350000000002</v>
      </c>
      <c r="I108" s="511">
        <f>Ctrl!$J$12</f>
        <v>414149</v>
      </c>
      <c r="J108" s="19"/>
      <c r="K108" s="21">
        <f t="shared" si="10"/>
        <v>12424.47</v>
      </c>
      <c r="L108" s="21">
        <f t="shared" si="11"/>
        <v>7040.533</v>
      </c>
      <c r="M108" s="21">
        <f t="shared" si="12"/>
        <v>6626.384</v>
      </c>
      <c r="N108" s="19">
        <f t="shared" si="15"/>
        <v>1242.4470000000001</v>
      </c>
      <c r="O108" s="505">
        <f t="shared" si="14"/>
        <v>2960.6849750000006</v>
      </c>
      <c r="P108" s="505"/>
    </row>
    <row r="109" spans="1:16" ht="22.5" customHeight="1">
      <c r="A109" s="38">
        <v>22</v>
      </c>
      <c r="B109" s="54">
        <v>20000</v>
      </c>
      <c r="C109" s="632" t="s">
        <v>31</v>
      </c>
      <c r="D109" s="89">
        <v>950</v>
      </c>
      <c r="E109" s="88" t="s">
        <v>366</v>
      </c>
      <c r="F109" s="82">
        <v>1075</v>
      </c>
      <c r="G109" s="693">
        <f t="shared" si="8"/>
        <v>5426.557924999999</v>
      </c>
      <c r="H109" s="19">
        <f t="shared" si="9"/>
        <v>12540.95</v>
      </c>
      <c r="I109" s="511">
        <f>Ctrl!$J$4</f>
        <v>171965</v>
      </c>
      <c r="J109" s="19"/>
      <c r="K109" s="21">
        <f t="shared" si="10"/>
        <v>5158.95</v>
      </c>
      <c r="L109" s="21">
        <f t="shared" si="11"/>
        <v>2923.405</v>
      </c>
      <c r="M109" s="21">
        <f t="shared" si="12"/>
        <v>2751.44</v>
      </c>
      <c r="N109" s="19">
        <f t="shared" si="15"/>
        <v>515.895</v>
      </c>
      <c r="O109" s="505">
        <f t="shared" si="14"/>
        <v>1611.512075</v>
      </c>
      <c r="P109" s="505"/>
    </row>
    <row r="110" spans="1:16" ht="22.5" customHeight="1">
      <c r="A110" s="38">
        <v>22</v>
      </c>
      <c r="B110" s="54">
        <v>20000</v>
      </c>
      <c r="C110" s="38" t="s">
        <v>264</v>
      </c>
      <c r="D110" s="89">
        <v>1380</v>
      </c>
      <c r="E110" s="88" t="s">
        <v>366</v>
      </c>
      <c r="F110" s="82">
        <v>1335</v>
      </c>
      <c r="G110" s="693">
        <f t="shared" si="8"/>
        <v>6566.788865000001</v>
      </c>
      <c r="H110" s="19">
        <f t="shared" si="9"/>
        <v>15574.11</v>
      </c>
      <c r="I110" s="511">
        <f>Ctrl!$J$6</f>
        <v>218939</v>
      </c>
      <c r="J110" s="19"/>
      <c r="K110" s="21">
        <f t="shared" si="10"/>
        <v>6568.17</v>
      </c>
      <c r="L110" s="21">
        <f t="shared" si="11"/>
        <v>3721.963</v>
      </c>
      <c r="M110" s="21">
        <f t="shared" si="12"/>
        <v>3503.024</v>
      </c>
      <c r="N110" s="19">
        <f t="shared" si="15"/>
        <v>656.817</v>
      </c>
      <c r="O110" s="505">
        <f t="shared" si="14"/>
        <v>2001.2731350000001</v>
      </c>
      <c r="P110" s="505"/>
    </row>
    <row r="111" spans="1:16" ht="22.5" customHeight="1">
      <c r="A111" s="38">
        <v>22</v>
      </c>
      <c r="B111" s="54">
        <v>20000</v>
      </c>
      <c r="C111" s="632" t="s">
        <v>116</v>
      </c>
      <c r="D111" s="89">
        <v>1825</v>
      </c>
      <c r="E111" s="88" t="s">
        <v>366</v>
      </c>
      <c r="F111" s="82">
        <v>1600</v>
      </c>
      <c r="G111" s="82">
        <f t="shared" si="8"/>
        <v>8273.534400000004</v>
      </c>
      <c r="H111" s="19">
        <f t="shared" si="9"/>
        <v>18665.600000000002</v>
      </c>
      <c r="I111" s="511">
        <f>Ctrl!$J$8</f>
        <v>249798</v>
      </c>
      <c r="J111" s="19"/>
      <c r="K111" s="21">
        <f t="shared" si="10"/>
        <v>7493.94</v>
      </c>
      <c r="L111" s="21">
        <f t="shared" si="11"/>
        <v>4246.566000000001</v>
      </c>
      <c r="M111" s="21">
        <f t="shared" si="12"/>
        <v>3996.768</v>
      </c>
      <c r="N111" s="19">
        <f t="shared" si="15"/>
        <v>749.394</v>
      </c>
      <c r="O111" s="505">
        <f t="shared" si="14"/>
        <v>2398.5296000000003</v>
      </c>
      <c r="P111" s="505"/>
    </row>
    <row r="112" spans="1:16" ht="22.5" customHeight="1">
      <c r="A112" s="38">
        <v>22</v>
      </c>
      <c r="B112" s="54">
        <v>20000</v>
      </c>
      <c r="C112" s="632" t="s">
        <v>246</v>
      </c>
      <c r="D112" s="89">
        <v>2525</v>
      </c>
      <c r="E112" s="88" t="s">
        <v>366</v>
      </c>
      <c r="F112" s="82">
        <v>1725</v>
      </c>
      <c r="G112" s="693">
        <f t="shared" si="8"/>
        <v>7205.999275000002</v>
      </c>
      <c r="H112" s="19">
        <f t="shared" si="9"/>
        <v>20123.850000000002</v>
      </c>
      <c r="I112" s="511">
        <f>Ctrl!$J$10</f>
        <v>322873</v>
      </c>
      <c r="J112" s="19"/>
      <c r="K112" s="21">
        <f t="shared" si="10"/>
        <v>9686.19</v>
      </c>
      <c r="L112" s="21">
        <f t="shared" si="11"/>
        <v>5488.841</v>
      </c>
      <c r="M112" s="21">
        <f t="shared" si="12"/>
        <v>5165.968</v>
      </c>
      <c r="N112" s="19">
        <f t="shared" si="15"/>
        <v>968.619</v>
      </c>
      <c r="O112" s="505">
        <f t="shared" si="14"/>
        <v>2585.9147250000005</v>
      </c>
      <c r="P112" s="505"/>
    </row>
    <row r="113" spans="1:17" ht="22.5" customHeight="1">
      <c r="A113" s="38">
        <v>22</v>
      </c>
      <c r="B113" s="54">
        <v>20000</v>
      </c>
      <c r="C113" s="632" t="s">
        <v>347</v>
      </c>
      <c r="D113" s="89">
        <v>3425</v>
      </c>
      <c r="E113" s="393" t="s">
        <v>369</v>
      </c>
      <c r="F113" s="82">
        <v>2000</v>
      </c>
      <c r="G113" s="693">
        <f t="shared" si="8"/>
        <v>6533.381000000001</v>
      </c>
      <c r="H113" s="19">
        <f t="shared" si="9"/>
        <v>23332</v>
      </c>
      <c r="I113" s="511">
        <f>Ctrl!$J$12</f>
        <v>414149</v>
      </c>
      <c r="J113" s="98"/>
      <c r="K113" s="21">
        <f t="shared" si="10"/>
        <v>12424.47</v>
      </c>
      <c r="L113" s="21">
        <f t="shared" si="11"/>
        <v>7040.533</v>
      </c>
      <c r="M113" s="21">
        <f t="shared" si="12"/>
        <v>6626.384</v>
      </c>
      <c r="N113" s="98">
        <v>1790.136</v>
      </c>
      <c r="O113" s="505">
        <f t="shared" si="14"/>
        <v>2998.1620000000003</v>
      </c>
      <c r="P113" s="508"/>
      <c r="Q113" s="508"/>
    </row>
    <row r="114" spans="1:16" ht="22.5" customHeight="1">
      <c r="A114" s="70">
        <v>23</v>
      </c>
      <c r="B114" s="71">
        <v>25000</v>
      </c>
      <c r="C114" s="620" t="s">
        <v>238</v>
      </c>
      <c r="D114" s="574">
        <v>950</v>
      </c>
      <c r="E114" s="574" t="s">
        <v>37</v>
      </c>
      <c r="F114" s="80">
        <v>1010</v>
      </c>
      <c r="G114" s="663">
        <f t="shared" si="8"/>
        <v>4765.708189999999</v>
      </c>
      <c r="H114" s="19">
        <f t="shared" si="9"/>
        <v>11782.66</v>
      </c>
      <c r="I114" s="511">
        <f>Ctrl!$J$4</f>
        <v>171965</v>
      </c>
      <c r="J114" s="19"/>
      <c r="K114" s="21">
        <f t="shared" si="10"/>
        <v>5158.95</v>
      </c>
      <c r="L114" s="21">
        <f t="shared" si="11"/>
        <v>2923.405</v>
      </c>
      <c r="M114" s="21">
        <f t="shared" si="12"/>
        <v>2751.44</v>
      </c>
      <c r="N114" s="19">
        <f aca="true" t="shared" si="16" ref="N114:N158">$N$2*I114</f>
        <v>515.895</v>
      </c>
      <c r="O114" s="505">
        <f t="shared" si="14"/>
        <v>1514.07181</v>
      </c>
      <c r="P114" s="505"/>
    </row>
    <row r="115" spans="1:16" ht="22.5" customHeight="1">
      <c r="A115" s="70">
        <v>23</v>
      </c>
      <c r="B115" s="71">
        <v>25000</v>
      </c>
      <c r="C115" s="70" t="s">
        <v>264</v>
      </c>
      <c r="D115" s="574">
        <v>1380</v>
      </c>
      <c r="E115" s="574" t="s">
        <v>37</v>
      </c>
      <c r="F115" s="80">
        <v>1275</v>
      </c>
      <c r="G115" s="663">
        <f t="shared" si="8"/>
        <v>5956.773725</v>
      </c>
      <c r="H115" s="19">
        <f t="shared" si="9"/>
        <v>14874.15</v>
      </c>
      <c r="I115" s="511">
        <f>Ctrl!$J$6</f>
        <v>218939</v>
      </c>
      <c r="J115" s="19"/>
      <c r="K115" s="21">
        <f t="shared" si="10"/>
        <v>6568.17</v>
      </c>
      <c r="L115" s="21">
        <f t="shared" si="11"/>
        <v>3721.963</v>
      </c>
      <c r="M115" s="21">
        <f t="shared" si="12"/>
        <v>3503.024</v>
      </c>
      <c r="N115" s="19">
        <f t="shared" si="16"/>
        <v>656.817</v>
      </c>
      <c r="O115" s="505">
        <f t="shared" si="14"/>
        <v>1911.328275</v>
      </c>
      <c r="P115" s="505"/>
    </row>
    <row r="116" spans="1:16" ht="22.5" customHeight="1">
      <c r="A116" s="70">
        <v>23</v>
      </c>
      <c r="B116" s="71">
        <v>25000</v>
      </c>
      <c r="C116" s="620" t="s">
        <v>116</v>
      </c>
      <c r="D116" s="574">
        <v>1825</v>
      </c>
      <c r="E116" s="574" t="s">
        <v>37</v>
      </c>
      <c r="F116" s="80">
        <v>1540</v>
      </c>
      <c r="G116" s="80">
        <f t="shared" si="8"/>
        <v>7663.519260000001</v>
      </c>
      <c r="H116" s="19">
        <f t="shared" si="9"/>
        <v>17965.64</v>
      </c>
      <c r="I116" s="511">
        <f>Ctrl!$J$8</f>
        <v>249798</v>
      </c>
      <c r="J116" s="19"/>
      <c r="K116" s="21">
        <f t="shared" si="10"/>
        <v>7493.94</v>
      </c>
      <c r="L116" s="21">
        <f t="shared" si="11"/>
        <v>4246.566000000001</v>
      </c>
      <c r="M116" s="21">
        <f t="shared" si="12"/>
        <v>3996.768</v>
      </c>
      <c r="N116" s="19">
        <f t="shared" si="16"/>
        <v>749.394</v>
      </c>
      <c r="O116" s="505">
        <f t="shared" si="14"/>
        <v>2308.58474</v>
      </c>
      <c r="P116" s="505"/>
    </row>
    <row r="117" spans="1:16" ht="22.5" customHeight="1">
      <c r="A117" s="70">
        <v>23</v>
      </c>
      <c r="B117" s="71">
        <v>25000</v>
      </c>
      <c r="C117" s="620" t="s">
        <v>246</v>
      </c>
      <c r="D117" s="574">
        <v>2525</v>
      </c>
      <c r="E117" s="574" t="s">
        <v>37</v>
      </c>
      <c r="F117" s="80">
        <v>1675</v>
      </c>
      <c r="G117" s="663">
        <f t="shared" si="8"/>
        <v>6697.653324999999</v>
      </c>
      <c r="H117" s="19">
        <f t="shared" si="9"/>
        <v>19540.55</v>
      </c>
      <c r="I117" s="511">
        <f>Ctrl!$J$10</f>
        <v>322873</v>
      </c>
      <c r="J117" s="19"/>
      <c r="K117" s="21">
        <f t="shared" si="10"/>
        <v>9686.19</v>
      </c>
      <c r="L117" s="21">
        <f t="shared" si="11"/>
        <v>5488.841</v>
      </c>
      <c r="M117" s="21">
        <f t="shared" si="12"/>
        <v>5165.968</v>
      </c>
      <c r="N117" s="19">
        <f t="shared" si="16"/>
        <v>968.619</v>
      </c>
      <c r="O117" s="505">
        <f t="shared" si="14"/>
        <v>2510.960675</v>
      </c>
      <c r="P117" s="505"/>
    </row>
    <row r="118" spans="1:16" ht="22.5" customHeight="1">
      <c r="A118" s="70">
        <v>23</v>
      </c>
      <c r="B118" s="71">
        <v>25000</v>
      </c>
      <c r="C118" s="620" t="s">
        <v>347</v>
      </c>
      <c r="D118" s="574">
        <v>3425</v>
      </c>
      <c r="E118" s="574" t="s">
        <v>37</v>
      </c>
      <c r="F118" s="80">
        <v>1950</v>
      </c>
      <c r="G118" s="663">
        <f t="shared" si="8"/>
        <v>6572.7240500000025</v>
      </c>
      <c r="H118" s="19">
        <f t="shared" si="9"/>
        <v>22748.7</v>
      </c>
      <c r="I118" s="511">
        <f>Ctrl!$J$12</f>
        <v>414149</v>
      </c>
      <c r="J118" s="19"/>
      <c r="K118" s="21">
        <f t="shared" si="10"/>
        <v>12424.47</v>
      </c>
      <c r="L118" s="21">
        <f t="shared" si="11"/>
        <v>7040.533</v>
      </c>
      <c r="M118" s="21">
        <f t="shared" si="12"/>
        <v>6626.384</v>
      </c>
      <c r="N118" s="19">
        <f t="shared" si="16"/>
        <v>1242.4470000000001</v>
      </c>
      <c r="O118" s="505">
        <f t="shared" si="14"/>
        <v>2923.20795</v>
      </c>
      <c r="P118" s="505"/>
    </row>
    <row r="119" spans="1:16" ht="22.5" customHeight="1">
      <c r="A119" s="36">
        <v>24</v>
      </c>
      <c r="B119" s="55">
        <v>25000</v>
      </c>
      <c r="C119" s="624" t="s">
        <v>238</v>
      </c>
      <c r="D119" s="575">
        <v>950</v>
      </c>
      <c r="E119" s="57" t="s">
        <v>145</v>
      </c>
      <c r="F119" s="77">
        <v>960</v>
      </c>
      <c r="G119" s="654">
        <f t="shared" si="8"/>
        <v>4257.3622399999995</v>
      </c>
      <c r="H119" s="19">
        <f t="shared" si="9"/>
        <v>11199.36</v>
      </c>
      <c r="I119" s="511">
        <f>Ctrl!$J$4</f>
        <v>171965</v>
      </c>
      <c r="J119" s="19"/>
      <c r="K119" s="21">
        <f t="shared" si="10"/>
        <v>5158.95</v>
      </c>
      <c r="L119" s="21">
        <f t="shared" si="11"/>
        <v>2923.405</v>
      </c>
      <c r="M119" s="21">
        <f t="shared" si="12"/>
        <v>2751.44</v>
      </c>
      <c r="N119" s="19">
        <f t="shared" si="16"/>
        <v>515.895</v>
      </c>
      <c r="O119" s="505">
        <f t="shared" si="14"/>
        <v>1439.11776</v>
      </c>
      <c r="P119" s="505"/>
    </row>
    <row r="120" spans="1:16" ht="22.5" customHeight="1">
      <c r="A120" s="36">
        <v>24</v>
      </c>
      <c r="B120" s="55">
        <v>25000</v>
      </c>
      <c r="C120" s="36" t="s">
        <v>264</v>
      </c>
      <c r="D120" s="57">
        <v>1380</v>
      </c>
      <c r="E120" s="57" t="s">
        <v>145</v>
      </c>
      <c r="F120" s="77">
        <v>1225</v>
      </c>
      <c r="G120" s="654">
        <f t="shared" si="8"/>
        <v>5448.427775</v>
      </c>
      <c r="H120" s="19">
        <f t="shared" si="9"/>
        <v>14290.85</v>
      </c>
      <c r="I120" s="511">
        <f>Ctrl!$J$6</f>
        <v>218939</v>
      </c>
      <c r="J120" s="19"/>
      <c r="K120" s="21">
        <f t="shared" si="10"/>
        <v>6568.17</v>
      </c>
      <c r="L120" s="21">
        <f t="shared" si="11"/>
        <v>3721.963</v>
      </c>
      <c r="M120" s="21">
        <f t="shared" si="12"/>
        <v>3503.024</v>
      </c>
      <c r="N120" s="19">
        <f t="shared" si="16"/>
        <v>656.817</v>
      </c>
      <c r="O120" s="505">
        <f t="shared" si="14"/>
        <v>1836.374225</v>
      </c>
      <c r="P120" s="505"/>
    </row>
    <row r="121" spans="1:16" ht="22.5" customHeight="1">
      <c r="A121" s="36">
        <v>24</v>
      </c>
      <c r="B121" s="55">
        <v>25000</v>
      </c>
      <c r="C121" s="624" t="s">
        <v>116</v>
      </c>
      <c r="D121" s="57">
        <v>1825</v>
      </c>
      <c r="E121" s="57" t="s">
        <v>145</v>
      </c>
      <c r="F121" s="77">
        <v>1490</v>
      </c>
      <c r="G121" s="77">
        <f t="shared" si="8"/>
        <v>7155.173310000002</v>
      </c>
      <c r="H121" s="19">
        <f t="shared" si="9"/>
        <v>17382.34</v>
      </c>
      <c r="I121" s="511">
        <f>Ctrl!$J$8</f>
        <v>249798</v>
      </c>
      <c r="J121" s="19"/>
      <c r="K121" s="21">
        <f t="shared" si="10"/>
        <v>7493.94</v>
      </c>
      <c r="L121" s="21">
        <f t="shared" si="11"/>
        <v>4246.566000000001</v>
      </c>
      <c r="M121" s="21">
        <f t="shared" si="12"/>
        <v>3996.768</v>
      </c>
      <c r="N121" s="19">
        <f t="shared" si="16"/>
        <v>749.394</v>
      </c>
      <c r="O121" s="505">
        <f t="shared" si="14"/>
        <v>2233.63069</v>
      </c>
      <c r="P121" s="505"/>
    </row>
    <row r="122" spans="1:16" ht="22.5" customHeight="1">
      <c r="A122" s="36">
        <v>24</v>
      </c>
      <c r="B122" s="55">
        <v>25000</v>
      </c>
      <c r="C122" s="624" t="s">
        <v>246</v>
      </c>
      <c r="D122" s="57">
        <v>2525</v>
      </c>
      <c r="E122" s="57" t="s">
        <v>145</v>
      </c>
      <c r="F122" s="77">
        <v>1625</v>
      </c>
      <c r="G122" s="654">
        <f t="shared" si="8"/>
        <v>6189.307375</v>
      </c>
      <c r="H122" s="19">
        <f t="shared" si="9"/>
        <v>18957.25</v>
      </c>
      <c r="I122" s="511">
        <f>Ctrl!$J$10</f>
        <v>322873</v>
      </c>
      <c r="J122" s="19"/>
      <c r="K122" s="21">
        <f t="shared" si="10"/>
        <v>9686.19</v>
      </c>
      <c r="L122" s="21">
        <f t="shared" si="11"/>
        <v>5488.841</v>
      </c>
      <c r="M122" s="21">
        <f t="shared" si="12"/>
        <v>5165.968</v>
      </c>
      <c r="N122" s="19">
        <f t="shared" si="16"/>
        <v>968.619</v>
      </c>
      <c r="O122" s="505">
        <f t="shared" si="14"/>
        <v>2436.006625</v>
      </c>
      <c r="P122" s="505"/>
    </row>
    <row r="123" spans="1:16" ht="22.5" customHeight="1">
      <c r="A123" s="36">
        <v>24</v>
      </c>
      <c r="B123" s="55">
        <v>25000</v>
      </c>
      <c r="C123" s="624" t="s">
        <v>347</v>
      </c>
      <c r="D123" s="57">
        <v>3425</v>
      </c>
      <c r="E123" s="57" t="s">
        <v>145</v>
      </c>
      <c r="F123" s="77">
        <v>1900</v>
      </c>
      <c r="G123" s="654">
        <f t="shared" si="8"/>
        <v>6064.3781000000035</v>
      </c>
      <c r="H123" s="19">
        <f t="shared" si="9"/>
        <v>22165.4</v>
      </c>
      <c r="I123" s="511">
        <f>Ctrl!$J$12</f>
        <v>414149</v>
      </c>
      <c r="J123" s="19"/>
      <c r="K123" s="21">
        <f t="shared" si="10"/>
        <v>12424.47</v>
      </c>
      <c r="L123" s="21">
        <f t="shared" si="11"/>
        <v>7040.533</v>
      </c>
      <c r="M123" s="21">
        <f t="shared" si="12"/>
        <v>6626.384</v>
      </c>
      <c r="N123" s="19">
        <f t="shared" si="16"/>
        <v>1242.4470000000001</v>
      </c>
      <c r="O123" s="505">
        <f t="shared" si="14"/>
        <v>2848.2539</v>
      </c>
      <c r="P123" s="505"/>
    </row>
    <row r="124" spans="1:16" ht="22.5" customHeight="1">
      <c r="A124" s="445">
        <v>25</v>
      </c>
      <c r="B124" s="446">
        <v>25000</v>
      </c>
      <c r="C124" s="630" t="s">
        <v>238</v>
      </c>
      <c r="D124" s="447">
        <v>950</v>
      </c>
      <c r="E124" s="450" t="s">
        <v>276</v>
      </c>
      <c r="F124" s="449">
        <v>985</v>
      </c>
      <c r="G124" s="655">
        <f t="shared" si="8"/>
        <v>4511.535214999999</v>
      </c>
      <c r="H124" s="19">
        <f t="shared" si="9"/>
        <v>11491.01</v>
      </c>
      <c r="I124" s="511">
        <f>Ctrl!$J$4</f>
        <v>171965</v>
      </c>
      <c r="J124" s="19"/>
      <c r="K124" s="21">
        <f t="shared" si="10"/>
        <v>5158.95</v>
      </c>
      <c r="L124" s="21">
        <f t="shared" si="11"/>
        <v>2923.405</v>
      </c>
      <c r="M124" s="21">
        <f t="shared" si="12"/>
        <v>2751.44</v>
      </c>
      <c r="N124" s="19">
        <f t="shared" si="16"/>
        <v>515.895</v>
      </c>
      <c r="O124" s="505">
        <f t="shared" si="14"/>
        <v>1476.594785</v>
      </c>
      <c r="P124" s="505"/>
    </row>
    <row r="125" spans="1:16" ht="22.5" customHeight="1">
      <c r="A125" s="445">
        <v>25</v>
      </c>
      <c r="B125" s="446">
        <v>25000</v>
      </c>
      <c r="C125" s="445" t="s">
        <v>264</v>
      </c>
      <c r="D125" s="447">
        <v>1380</v>
      </c>
      <c r="E125" s="450" t="s">
        <v>276</v>
      </c>
      <c r="F125" s="449">
        <v>1250</v>
      </c>
      <c r="G125" s="655">
        <f t="shared" si="8"/>
        <v>5702.6007500000005</v>
      </c>
      <c r="H125" s="19">
        <f t="shared" si="9"/>
        <v>14582.5</v>
      </c>
      <c r="I125" s="511">
        <f>Ctrl!$J$6</f>
        <v>218939</v>
      </c>
      <c r="J125" s="19"/>
      <c r="K125" s="21">
        <f t="shared" si="10"/>
        <v>6568.17</v>
      </c>
      <c r="L125" s="21">
        <f t="shared" si="11"/>
        <v>3721.963</v>
      </c>
      <c r="M125" s="21">
        <f t="shared" si="12"/>
        <v>3503.024</v>
      </c>
      <c r="N125" s="19">
        <f t="shared" si="16"/>
        <v>656.817</v>
      </c>
      <c r="O125" s="505">
        <f t="shared" si="14"/>
        <v>1873.85125</v>
      </c>
      <c r="P125" s="505"/>
    </row>
    <row r="126" spans="1:16" ht="22.5" customHeight="1">
      <c r="A126" s="445">
        <v>25</v>
      </c>
      <c r="B126" s="446">
        <v>25000</v>
      </c>
      <c r="C126" s="630" t="s">
        <v>116</v>
      </c>
      <c r="D126" s="447">
        <v>1825</v>
      </c>
      <c r="E126" s="450" t="s">
        <v>276</v>
      </c>
      <c r="F126" s="449">
        <v>1515</v>
      </c>
      <c r="G126" s="616">
        <f t="shared" si="8"/>
        <v>7409.346285000003</v>
      </c>
      <c r="H126" s="19">
        <f t="shared" si="9"/>
        <v>17673.99</v>
      </c>
      <c r="I126" s="511">
        <f>Ctrl!$J$8</f>
        <v>249798</v>
      </c>
      <c r="J126" s="19"/>
      <c r="K126" s="21">
        <f t="shared" si="10"/>
        <v>7493.94</v>
      </c>
      <c r="L126" s="21">
        <f t="shared" si="11"/>
        <v>4246.566000000001</v>
      </c>
      <c r="M126" s="21">
        <f t="shared" si="12"/>
        <v>3996.768</v>
      </c>
      <c r="N126" s="19">
        <f t="shared" si="16"/>
        <v>749.394</v>
      </c>
      <c r="O126" s="505">
        <f t="shared" si="14"/>
        <v>2271.107715</v>
      </c>
      <c r="P126" s="505"/>
    </row>
    <row r="127" spans="1:16" ht="22.5" customHeight="1">
      <c r="A127" s="445">
        <v>25</v>
      </c>
      <c r="B127" s="446">
        <v>25000</v>
      </c>
      <c r="C127" s="630" t="s">
        <v>246</v>
      </c>
      <c r="D127" s="447">
        <v>2525</v>
      </c>
      <c r="E127" s="450" t="s">
        <v>276</v>
      </c>
      <c r="F127" s="449">
        <v>1650</v>
      </c>
      <c r="G127" s="655">
        <f t="shared" si="8"/>
        <v>6443.480350000002</v>
      </c>
      <c r="H127" s="19">
        <f t="shared" si="9"/>
        <v>19248.9</v>
      </c>
      <c r="I127" s="511">
        <f>Ctrl!$J$10</f>
        <v>322873</v>
      </c>
      <c r="J127" s="19"/>
      <c r="K127" s="21">
        <f t="shared" si="10"/>
        <v>9686.19</v>
      </c>
      <c r="L127" s="21">
        <f t="shared" si="11"/>
        <v>5488.841</v>
      </c>
      <c r="M127" s="21">
        <f t="shared" si="12"/>
        <v>5165.968</v>
      </c>
      <c r="N127" s="19">
        <f t="shared" si="16"/>
        <v>968.619</v>
      </c>
      <c r="O127" s="505">
        <f t="shared" si="14"/>
        <v>2473.48365</v>
      </c>
      <c r="P127" s="505"/>
    </row>
    <row r="128" spans="1:16" ht="22.5" customHeight="1">
      <c r="A128" s="445">
        <v>25</v>
      </c>
      <c r="B128" s="446">
        <v>25000</v>
      </c>
      <c r="C128" s="630" t="s">
        <v>347</v>
      </c>
      <c r="D128" s="447">
        <v>3425</v>
      </c>
      <c r="E128" s="450" t="s">
        <v>276</v>
      </c>
      <c r="F128" s="449">
        <v>1925</v>
      </c>
      <c r="G128" s="655">
        <f t="shared" si="8"/>
        <v>6318.551075000001</v>
      </c>
      <c r="H128" s="19">
        <f t="shared" si="9"/>
        <v>22457.05</v>
      </c>
      <c r="I128" s="511">
        <f>Ctrl!$J$12</f>
        <v>414149</v>
      </c>
      <c r="J128" s="19"/>
      <c r="K128" s="21">
        <f t="shared" si="10"/>
        <v>12424.47</v>
      </c>
      <c r="L128" s="21">
        <f t="shared" si="11"/>
        <v>7040.533</v>
      </c>
      <c r="M128" s="21">
        <f t="shared" si="12"/>
        <v>6626.384</v>
      </c>
      <c r="N128" s="19">
        <f t="shared" si="16"/>
        <v>1242.4470000000001</v>
      </c>
      <c r="O128" s="505">
        <f t="shared" si="14"/>
        <v>2885.730925</v>
      </c>
      <c r="P128" s="505"/>
    </row>
    <row r="129" spans="1:16" ht="22.5" customHeight="1">
      <c r="A129" s="39">
        <v>26</v>
      </c>
      <c r="B129" s="51">
        <v>25000</v>
      </c>
      <c r="C129" s="633" t="s">
        <v>31</v>
      </c>
      <c r="D129" s="58">
        <v>950</v>
      </c>
      <c r="E129" s="58" t="s">
        <v>147</v>
      </c>
      <c r="F129" s="99">
        <v>1035</v>
      </c>
      <c r="G129" s="586">
        <f t="shared" si="8"/>
        <v>5019.881164999999</v>
      </c>
      <c r="H129" s="19">
        <f t="shared" si="9"/>
        <v>12074.31</v>
      </c>
      <c r="I129" s="511">
        <f>Ctrl!$J$4</f>
        <v>171965</v>
      </c>
      <c r="J129" s="19"/>
      <c r="K129" s="21">
        <f t="shared" si="10"/>
        <v>5158.95</v>
      </c>
      <c r="L129" s="21">
        <f t="shared" si="11"/>
        <v>2923.405</v>
      </c>
      <c r="M129" s="21">
        <f t="shared" si="12"/>
        <v>2751.44</v>
      </c>
      <c r="N129" s="19">
        <f t="shared" si="16"/>
        <v>515.895</v>
      </c>
      <c r="O129" s="505">
        <f t="shared" si="14"/>
        <v>1551.548835</v>
      </c>
      <c r="P129" s="505"/>
    </row>
    <row r="130" spans="1:15" ht="22.5" customHeight="1">
      <c r="A130" s="39">
        <v>26</v>
      </c>
      <c r="B130" s="51">
        <v>25000</v>
      </c>
      <c r="C130" s="39" t="s">
        <v>264</v>
      </c>
      <c r="D130" s="58">
        <v>1380</v>
      </c>
      <c r="E130" s="58" t="s">
        <v>147</v>
      </c>
      <c r="F130" s="99">
        <v>1300</v>
      </c>
      <c r="G130" s="586">
        <f t="shared" si="8"/>
        <v>6210.946700000001</v>
      </c>
      <c r="H130" s="19">
        <f t="shared" si="9"/>
        <v>15165.800000000001</v>
      </c>
      <c r="I130" s="511">
        <f>Ctrl!$J$6</f>
        <v>218939</v>
      </c>
      <c r="K130" s="21">
        <f t="shared" si="10"/>
        <v>6568.17</v>
      </c>
      <c r="L130" s="21">
        <f t="shared" si="11"/>
        <v>3721.963</v>
      </c>
      <c r="M130" s="21">
        <f t="shared" si="12"/>
        <v>3503.024</v>
      </c>
      <c r="N130" s="19">
        <f t="shared" si="16"/>
        <v>656.817</v>
      </c>
      <c r="O130" s="505">
        <f t="shared" si="14"/>
        <v>1948.8053000000002</v>
      </c>
    </row>
    <row r="131" spans="1:16" ht="22.5" customHeight="1">
      <c r="A131" s="39">
        <v>26</v>
      </c>
      <c r="B131" s="51">
        <v>25000</v>
      </c>
      <c r="C131" s="633" t="s">
        <v>116</v>
      </c>
      <c r="D131" s="58">
        <v>1825</v>
      </c>
      <c r="E131" s="58" t="s">
        <v>147</v>
      </c>
      <c r="F131" s="99">
        <v>1565</v>
      </c>
      <c r="G131" s="617">
        <f t="shared" si="8"/>
        <v>7917.692235000002</v>
      </c>
      <c r="H131" s="19">
        <f t="shared" si="9"/>
        <v>18257.29</v>
      </c>
      <c r="I131" s="511">
        <f>Ctrl!$J$8</f>
        <v>249798</v>
      </c>
      <c r="J131" s="19"/>
      <c r="K131" s="21">
        <f t="shared" si="10"/>
        <v>7493.94</v>
      </c>
      <c r="L131" s="21">
        <f t="shared" si="11"/>
        <v>4246.566000000001</v>
      </c>
      <c r="M131" s="21">
        <f t="shared" si="12"/>
        <v>3996.768</v>
      </c>
      <c r="N131" s="19">
        <f t="shared" si="16"/>
        <v>749.394</v>
      </c>
      <c r="O131" s="505">
        <f t="shared" si="14"/>
        <v>2346.0617650000004</v>
      </c>
      <c r="P131" s="505"/>
    </row>
    <row r="132" spans="1:16" ht="22.5" customHeight="1">
      <c r="A132" s="39">
        <v>26</v>
      </c>
      <c r="B132" s="51">
        <v>25000</v>
      </c>
      <c r="C132" s="633" t="s">
        <v>246</v>
      </c>
      <c r="D132" s="58">
        <v>2525</v>
      </c>
      <c r="E132" s="58" t="s">
        <v>147</v>
      </c>
      <c r="F132" s="99">
        <v>1700</v>
      </c>
      <c r="G132" s="586">
        <f aca="true" t="shared" si="17" ref="G132:G195">H132-K132+L132-M132-N132-O132</f>
        <v>6951.826300000001</v>
      </c>
      <c r="H132" s="19">
        <f aca="true" t="shared" si="18" ref="H132:H195">F132*$H$2</f>
        <v>19832.2</v>
      </c>
      <c r="I132" s="511">
        <f>Ctrl!$J$10</f>
        <v>322873</v>
      </c>
      <c r="J132" s="19"/>
      <c r="K132" s="21">
        <f aca="true" t="shared" si="19" ref="K132:K195">$K$2*I132</f>
        <v>9686.19</v>
      </c>
      <c r="L132" s="21">
        <f aca="true" t="shared" si="20" ref="L132:L195">$L$2*I132</f>
        <v>5488.841</v>
      </c>
      <c r="M132" s="21">
        <f aca="true" t="shared" si="21" ref="M132:M195">$M$2*I132</f>
        <v>5165.968</v>
      </c>
      <c r="N132" s="19">
        <f t="shared" si="16"/>
        <v>968.619</v>
      </c>
      <c r="O132" s="505">
        <f aca="true" t="shared" si="22" ref="O132:O195">$O$2*H132</f>
        <v>2548.4377</v>
      </c>
      <c r="P132" s="505"/>
    </row>
    <row r="133" spans="1:16" ht="22.5" customHeight="1">
      <c r="A133" s="39">
        <v>26</v>
      </c>
      <c r="B133" s="51">
        <v>25000</v>
      </c>
      <c r="C133" s="633" t="s">
        <v>347</v>
      </c>
      <c r="D133" s="58">
        <v>3425</v>
      </c>
      <c r="E133" s="58" t="s">
        <v>147</v>
      </c>
      <c r="F133" s="99">
        <v>1975</v>
      </c>
      <c r="G133" s="586">
        <f t="shared" si="17"/>
        <v>6826.897025000004</v>
      </c>
      <c r="H133" s="19">
        <f t="shared" si="18"/>
        <v>23040.350000000002</v>
      </c>
      <c r="I133" s="511">
        <f>Ctrl!$J$12</f>
        <v>414149</v>
      </c>
      <c r="J133" s="19"/>
      <c r="K133" s="21">
        <f t="shared" si="19"/>
        <v>12424.47</v>
      </c>
      <c r="L133" s="21">
        <f t="shared" si="20"/>
        <v>7040.533</v>
      </c>
      <c r="M133" s="21">
        <f t="shared" si="21"/>
        <v>6626.384</v>
      </c>
      <c r="N133" s="19">
        <f t="shared" si="16"/>
        <v>1242.4470000000001</v>
      </c>
      <c r="O133" s="505">
        <f t="shared" si="22"/>
        <v>2960.6849750000006</v>
      </c>
      <c r="P133" s="505"/>
    </row>
    <row r="134" spans="1:16" ht="22.5" customHeight="1">
      <c r="A134" s="25">
        <v>27</v>
      </c>
      <c r="B134" s="37">
        <v>25000</v>
      </c>
      <c r="C134" s="627" t="s">
        <v>238</v>
      </c>
      <c r="D134" s="576">
        <v>950</v>
      </c>
      <c r="E134" s="59" t="s">
        <v>146</v>
      </c>
      <c r="F134" s="81">
        <v>1060</v>
      </c>
      <c r="G134" s="656">
        <f t="shared" si="17"/>
        <v>5274.05414</v>
      </c>
      <c r="H134" s="19">
        <f t="shared" si="18"/>
        <v>12365.960000000001</v>
      </c>
      <c r="I134" s="511">
        <f>Ctrl!$J$4</f>
        <v>171965</v>
      </c>
      <c r="J134" s="19"/>
      <c r="K134" s="21">
        <f t="shared" si="19"/>
        <v>5158.95</v>
      </c>
      <c r="L134" s="21">
        <f t="shared" si="20"/>
        <v>2923.405</v>
      </c>
      <c r="M134" s="21">
        <f t="shared" si="21"/>
        <v>2751.44</v>
      </c>
      <c r="N134" s="19">
        <f t="shared" si="16"/>
        <v>515.895</v>
      </c>
      <c r="O134" s="505">
        <f t="shared" si="22"/>
        <v>1589.0258600000002</v>
      </c>
      <c r="P134" s="505"/>
    </row>
    <row r="135" spans="1:15" ht="22.5" customHeight="1">
      <c r="A135" s="25">
        <v>27</v>
      </c>
      <c r="B135" s="37">
        <v>25000</v>
      </c>
      <c r="C135" s="25" t="s">
        <v>264</v>
      </c>
      <c r="D135" s="59">
        <v>1380</v>
      </c>
      <c r="E135" s="59" t="s">
        <v>146</v>
      </c>
      <c r="F135" s="81">
        <v>1325</v>
      </c>
      <c r="G135" s="656">
        <f t="shared" si="17"/>
        <v>6465.119675000002</v>
      </c>
      <c r="H135" s="19">
        <f t="shared" si="18"/>
        <v>15457.45</v>
      </c>
      <c r="I135" s="511">
        <f>Ctrl!$J$6</f>
        <v>218939</v>
      </c>
      <c r="K135" s="21">
        <f t="shared" si="19"/>
        <v>6568.17</v>
      </c>
      <c r="L135" s="21">
        <f t="shared" si="20"/>
        <v>3721.963</v>
      </c>
      <c r="M135" s="21">
        <f t="shared" si="21"/>
        <v>3503.024</v>
      </c>
      <c r="N135" s="19">
        <f t="shared" si="16"/>
        <v>656.817</v>
      </c>
      <c r="O135" s="505">
        <f t="shared" si="22"/>
        <v>1986.2823250000001</v>
      </c>
    </row>
    <row r="136" spans="1:16" ht="22.5" customHeight="1">
      <c r="A136" s="25">
        <v>27</v>
      </c>
      <c r="B136" s="53">
        <v>25000</v>
      </c>
      <c r="C136" s="627" t="s">
        <v>116</v>
      </c>
      <c r="D136" s="59">
        <v>1825</v>
      </c>
      <c r="E136" s="59" t="s">
        <v>146</v>
      </c>
      <c r="F136" s="81">
        <v>1590</v>
      </c>
      <c r="G136" s="81">
        <f t="shared" si="17"/>
        <v>8171.865210000004</v>
      </c>
      <c r="H136" s="19">
        <f t="shared" si="18"/>
        <v>18548.940000000002</v>
      </c>
      <c r="I136" s="511">
        <f>Ctrl!$J$8</f>
        <v>249798</v>
      </c>
      <c r="J136" s="19"/>
      <c r="K136" s="21">
        <f t="shared" si="19"/>
        <v>7493.94</v>
      </c>
      <c r="L136" s="21">
        <f t="shared" si="20"/>
        <v>4246.566000000001</v>
      </c>
      <c r="M136" s="21">
        <f t="shared" si="21"/>
        <v>3996.768</v>
      </c>
      <c r="N136" s="19">
        <f t="shared" si="16"/>
        <v>749.394</v>
      </c>
      <c r="O136" s="505">
        <f t="shared" si="22"/>
        <v>2383.5387900000005</v>
      </c>
      <c r="P136" s="505"/>
    </row>
    <row r="137" spans="1:16" ht="22.5" customHeight="1">
      <c r="A137" s="25">
        <v>27</v>
      </c>
      <c r="B137" s="37">
        <v>25000</v>
      </c>
      <c r="C137" s="627" t="s">
        <v>246</v>
      </c>
      <c r="D137" s="59">
        <v>2525</v>
      </c>
      <c r="E137" s="59" t="s">
        <v>146</v>
      </c>
      <c r="F137" s="81">
        <v>1725</v>
      </c>
      <c r="G137" s="656">
        <f t="shared" si="17"/>
        <v>7205.999275000002</v>
      </c>
      <c r="H137" s="19">
        <f t="shared" si="18"/>
        <v>20123.850000000002</v>
      </c>
      <c r="I137" s="511">
        <f>Ctrl!$J$10</f>
        <v>322873</v>
      </c>
      <c r="J137" s="19"/>
      <c r="K137" s="21">
        <f t="shared" si="19"/>
        <v>9686.19</v>
      </c>
      <c r="L137" s="21">
        <f t="shared" si="20"/>
        <v>5488.841</v>
      </c>
      <c r="M137" s="21">
        <f t="shared" si="21"/>
        <v>5165.968</v>
      </c>
      <c r="N137" s="19">
        <f t="shared" si="16"/>
        <v>968.619</v>
      </c>
      <c r="O137" s="505">
        <f t="shared" si="22"/>
        <v>2585.9147250000005</v>
      </c>
      <c r="P137" s="505"/>
    </row>
    <row r="138" spans="1:16" ht="22.5" customHeight="1">
      <c r="A138" s="25">
        <v>27</v>
      </c>
      <c r="B138" s="37">
        <v>25000</v>
      </c>
      <c r="C138" s="627" t="s">
        <v>347</v>
      </c>
      <c r="D138" s="59">
        <v>3425</v>
      </c>
      <c r="E138" s="59" t="s">
        <v>146</v>
      </c>
      <c r="F138" s="81">
        <v>2000</v>
      </c>
      <c r="G138" s="656">
        <f t="shared" si="17"/>
        <v>7081.0700000000015</v>
      </c>
      <c r="H138" s="19">
        <f t="shared" si="18"/>
        <v>23332</v>
      </c>
      <c r="I138" s="511">
        <f>Ctrl!$J$12</f>
        <v>414149</v>
      </c>
      <c r="J138" s="19"/>
      <c r="K138" s="21">
        <f t="shared" si="19"/>
        <v>12424.47</v>
      </c>
      <c r="L138" s="21">
        <f t="shared" si="20"/>
        <v>7040.533</v>
      </c>
      <c r="M138" s="21">
        <f t="shared" si="21"/>
        <v>6626.384</v>
      </c>
      <c r="N138" s="19">
        <f t="shared" si="16"/>
        <v>1242.4470000000001</v>
      </c>
      <c r="O138" s="505">
        <f t="shared" si="22"/>
        <v>2998.1620000000003</v>
      </c>
      <c r="P138" s="505"/>
    </row>
    <row r="139" spans="1:16" ht="22.5" customHeight="1">
      <c r="A139" s="38">
        <v>28</v>
      </c>
      <c r="B139" s="54">
        <v>25000</v>
      </c>
      <c r="C139" s="632" t="s">
        <v>31</v>
      </c>
      <c r="D139" s="89">
        <v>950</v>
      </c>
      <c r="E139" s="88" t="s">
        <v>366</v>
      </c>
      <c r="F139" s="82">
        <v>1085</v>
      </c>
      <c r="G139" s="693">
        <f t="shared" si="17"/>
        <v>5528.227115</v>
      </c>
      <c r="H139" s="19">
        <f t="shared" si="18"/>
        <v>12657.61</v>
      </c>
      <c r="I139" s="511">
        <f>Ctrl!$J$4</f>
        <v>171965</v>
      </c>
      <c r="J139" s="19"/>
      <c r="K139" s="21">
        <f t="shared" si="19"/>
        <v>5158.95</v>
      </c>
      <c r="L139" s="21">
        <f t="shared" si="20"/>
        <v>2923.405</v>
      </c>
      <c r="M139" s="21">
        <f t="shared" si="21"/>
        <v>2751.44</v>
      </c>
      <c r="N139" s="19">
        <f t="shared" si="16"/>
        <v>515.895</v>
      </c>
      <c r="O139" s="505">
        <f t="shared" si="22"/>
        <v>1626.502885</v>
      </c>
      <c r="P139" s="505"/>
    </row>
    <row r="140" spans="1:15" ht="22.5" customHeight="1">
      <c r="A140" s="38">
        <v>28</v>
      </c>
      <c r="B140" s="54">
        <v>25000</v>
      </c>
      <c r="C140" s="38" t="s">
        <v>264</v>
      </c>
      <c r="D140" s="58">
        <v>1380</v>
      </c>
      <c r="E140" s="88" t="s">
        <v>366</v>
      </c>
      <c r="F140" s="82">
        <v>1350</v>
      </c>
      <c r="G140" s="693">
        <f t="shared" si="17"/>
        <v>6719.292649999999</v>
      </c>
      <c r="H140" s="19">
        <f t="shared" si="18"/>
        <v>15749.1</v>
      </c>
      <c r="I140" s="511">
        <f>Ctrl!$J$6</f>
        <v>218939</v>
      </c>
      <c r="K140" s="21">
        <f t="shared" si="19"/>
        <v>6568.17</v>
      </c>
      <c r="L140" s="21">
        <f t="shared" si="20"/>
        <v>3721.963</v>
      </c>
      <c r="M140" s="21">
        <f t="shared" si="21"/>
        <v>3503.024</v>
      </c>
      <c r="N140" s="19">
        <f t="shared" si="16"/>
        <v>656.817</v>
      </c>
      <c r="O140" s="505">
        <f t="shared" si="22"/>
        <v>2023.75935</v>
      </c>
    </row>
    <row r="141" spans="1:16" ht="22.5" customHeight="1">
      <c r="A141" s="38">
        <v>28</v>
      </c>
      <c r="B141" s="54">
        <v>25000</v>
      </c>
      <c r="C141" s="632" t="s">
        <v>116</v>
      </c>
      <c r="D141" s="89">
        <v>1825</v>
      </c>
      <c r="E141" s="88" t="s">
        <v>366</v>
      </c>
      <c r="F141" s="82">
        <v>1615</v>
      </c>
      <c r="G141" s="82">
        <f t="shared" si="17"/>
        <v>8426.038185000001</v>
      </c>
      <c r="H141" s="19">
        <f t="shared" si="18"/>
        <v>18840.59</v>
      </c>
      <c r="I141" s="511">
        <f>Ctrl!$J$8</f>
        <v>249798</v>
      </c>
      <c r="J141" s="19"/>
      <c r="K141" s="21">
        <f t="shared" si="19"/>
        <v>7493.94</v>
      </c>
      <c r="L141" s="21">
        <f t="shared" si="20"/>
        <v>4246.566000000001</v>
      </c>
      <c r="M141" s="21">
        <f t="shared" si="21"/>
        <v>3996.768</v>
      </c>
      <c r="N141" s="19">
        <f t="shared" si="16"/>
        <v>749.394</v>
      </c>
      <c r="O141" s="505">
        <f t="shared" si="22"/>
        <v>2421.015815</v>
      </c>
      <c r="P141" s="505"/>
    </row>
    <row r="142" spans="1:16" ht="22.5" customHeight="1">
      <c r="A142" s="38">
        <v>28</v>
      </c>
      <c r="B142" s="54">
        <v>25000</v>
      </c>
      <c r="C142" s="632" t="s">
        <v>368</v>
      </c>
      <c r="D142" s="89">
        <v>2525</v>
      </c>
      <c r="E142" s="88" t="s">
        <v>366</v>
      </c>
      <c r="F142" s="82">
        <v>1750</v>
      </c>
      <c r="G142" s="693">
        <f t="shared" si="17"/>
        <v>7460.17225</v>
      </c>
      <c r="H142" s="19">
        <f t="shared" si="18"/>
        <v>20415.5</v>
      </c>
      <c r="I142" s="511">
        <f>Ctrl!$J$10</f>
        <v>322873</v>
      </c>
      <c r="J142" s="19"/>
      <c r="K142" s="21">
        <f t="shared" si="19"/>
        <v>9686.19</v>
      </c>
      <c r="L142" s="21">
        <f t="shared" si="20"/>
        <v>5488.841</v>
      </c>
      <c r="M142" s="21">
        <f t="shared" si="21"/>
        <v>5165.968</v>
      </c>
      <c r="N142" s="19">
        <f t="shared" si="16"/>
        <v>968.619</v>
      </c>
      <c r="O142" s="505">
        <f t="shared" si="22"/>
        <v>2623.3917500000002</v>
      </c>
      <c r="P142" s="505"/>
    </row>
    <row r="143" spans="1:16" ht="22.5" customHeight="1">
      <c r="A143" s="38">
        <v>28</v>
      </c>
      <c r="B143" s="54">
        <v>25000</v>
      </c>
      <c r="C143" s="632" t="s">
        <v>347</v>
      </c>
      <c r="D143" s="89">
        <v>3425</v>
      </c>
      <c r="E143" s="88" t="s">
        <v>369</v>
      </c>
      <c r="F143" s="82">
        <v>2025</v>
      </c>
      <c r="G143" s="693">
        <f t="shared" si="17"/>
        <v>7335.242975000003</v>
      </c>
      <c r="H143" s="19">
        <f t="shared" si="18"/>
        <v>23623.65</v>
      </c>
      <c r="I143" s="511">
        <f>Ctrl!$J$12</f>
        <v>414149</v>
      </c>
      <c r="J143" s="19"/>
      <c r="K143" s="21">
        <f t="shared" si="19"/>
        <v>12424.47</v>
      </c>
      <c r="L143" s="21">
        <f t="shared" si="20"/>
        <v>7040.533</v>
      </c>
      <c r="M143" s="21">
        <f t="shared" si="21"/>
        <v>6626.384</v>
      </c>
      <c r="N143" s="19">
        <f t="shared" si="16"/>
        <v>1242.4470000000001</v>
      </c>
      <c r="O143" s="505">
        <f t="shared" si="22"/>
        <v>3035.6390250000004</v>
      </c>
      <c r="P143" s="505"/>
    </row>
    <row r="144" spans="1:16" ht="22.5" customHeight="1">
      <c r="A144" s="70">
        <v>29</v>
      </c>
      <c r="B144" s="71">
        <v>30000</v>
      </c>
      <c r="C144" s="620" t="s">
        <v>238</v>
      </c>
      <c r="D144" s="574">
        <v>950</v>
      </c>
      <c r="E144" s="574" t="s">
        <v>37</v>
      </c>
      <c r="F144" s="80">
        <v>1015</v>
      </c>
      <c r="G144" s="663">
        <f t="shared" si="17"/>
        <v>4816.542784999999</v>
      </c>
      <c r="H144" s="19">
        <f t="shared" si="18"/>
        <v>11840.99</v>
      </c>
      <c r="I144" s="511">
        <f>Ctrl!$J$4</f>
        <v>171965</v>
      </c>
      <c r="J144" s="19"/>
      <c r="K144" s="21">
        <f t="shared" si="19"/>
        <v>5158.95</v>
      </c>
      <c r="L144" s="21">
        <f t="shared" si="20"/>
        <v>2923.405</v>
      </c>
      <c r="M144" s="21">
        <f t="shared" si="21"/>
        <v>2751.44</v>
      </c>
      <c r="N144" s="19">
        <f t="shared" si="16"/>
        <v>515.895</v>
      </c>
      <c r="O144" s="505">
        <f t="shared" si="22"/>
        <v>1521.567215</v>
      </c>
      <c r="P144" s="505"/>
    </row>
    <row r="145" spans="1:16" ht="22.5" customHeight="1">
      <c r="A145" s="70">
        <v>29</v>
      </c>
      <c r="B145" s="71">
        <v>30000</v>
      </c>
      <c r="C145" s="70" t="s">
        <v>264</v>
      </c>
      <c r="D145" s="574">
        <v>1380</v>
      </c>
      <c r="E145" s="574" t="s">
        <v>37</v>
      </c>
      <c r="F145" s="80">
        <v>1280</v>
      </c>
      <c r="G145" s="663">
        <f t="shared" si="17"/>
        <v>6007.608319999999</v>
      </c>
      <c r="H145" s="19">
        <f t="shared" si="18"/>
        <v>14932.48</v>
      </c>
      <c r="I145" s="511">
        <f>Ctrl!$J$6</f>
        <v>218939</v>
      </c>
      <c r="J145" s="19"/>
      <c r="K145" s="21">
        <f t="shared" si="19"/>
        <v>6568.17</v>
      </c>
      <c r="L145" s="21">
        <f t="shared" si="20"/>
        <v>3721.963</v>
      </c>
      <c r="M145" s="21">
        <f t="shared" si="21"/>
        <v>3503.024</v>
      </c>
      <c r="N145" s="19">
        <f t="shared" si="16"/>
        <v>656.817</v>
      </c>
      <c r="O145" s="505">
        <f t="shared" si="22"/>
        <v>1918.82368</v>
      </c>
      <c r="P145" s="505"/>
    </row>
    <row r="146" spans="1:16" ht="22.5" customHeight="1">
      <c r="A146" s="70">
        <v>29</v>
      </c>
      <c r="B146" s="71">
        <v>30000</v>
      </c>
      <c r="C146" s="620" t="s">
        <v>116</v>
      </c>
      <c r="D146" s="574">
        <v>1825</v>
      </c>
      <c r="E146" s="574" t="s">
        <v>37</v>
      </c>
      <c r="F146" s="80">
        <v>1550</v>
      </c>
      <c r="G146" s="80">
        <f t="shared" si="17"/>
        <v>7765.1884500000015</v>
      </c>
      <c r="H146" s="19">
        <f t="shared" si="18"/>
        <v>18082.3</v>
      </c>
      <c r="I146" s="511">
        <f>Ctrl!$J$8</f>
        <v>249798</v>
      </c>
      <c r="J146" s="19"/>
      <c r="K146" s="21">
        <f t="shared" si="19"/>
        <v>7493.94</v>
      </c>
      <c r="L146" s="21">
        <f t="shared" si="20"/>
        <v>4246.566000000001</v>
      </c>
      <c r="M146" s="21">
        <f t="shared" si="21"/>
        <v>3996.768</v>
      </c>
      <c r="N146" s="19">
        <f t="shared" si="16"/>
        <v>749.394</v>
      </c>
      <c r="O146" s="505">
        <f t="shared" si="22"/>
        <v>2323.57555</v>
      </c>
      <c r="P146" s="505"/>
    </row>
    <row r="147" spans="1:16" ht="22.5" customHeight="1">
      <c r="A147" s="70">
        <v>29</v>
      </c>
      <c r="B147" s="71">
        <v>30000</v>
      </c>
      <c r="C147" s="620" t="s">
        <v>246</v>
      </c>
      <c r="D147" s="574">
        <v>2525</v>
      </c>
      <c r="E147" s="574" t="s">
        <v>37</v>
      </c>
      <c r="F147" s="80">
        <v>1700</v>
      </c>
      <c r="G147" s="663">
        <f t="shared" si="17"/>
        <v>6951.826300000001</v>
      </c>
      <c r="H147" s="19">
        <f t="shared" si="18"/>
        <v>19832.2</v>
      </c>
      <c r="I147" s="511">
        <f>Ctrl!$J$10</f>
        <v>322873</v>
      </c>
      <c r="J147" s="19"/>
      <c r="K147" s="21">
        <f t="shared" si="19"/>
        <v>9686.19</v>
      </c>
      <c r="L147" s="21">
        <f t="shared" si="20"/>
        <v>5488.841</v>
      </c>
      <c r="M147" s="21">
        <f t="shared" si="21"/>
        <v>5165.968</v>
      </c>
      <c r="N147" s="19">
        <f t="shared" si="16"/>
        <v>968.619</v>
      </c>
      <c r="O147" s="505">
        <f t="shared" si="22"/>
        <v>2548.4377</v>
      </c>
      <c r="P147" s="505"/>
    </row>
    <row r="148" spans="1:16" ht="22.5" customHeight="1">
      <c r="A148" s="70">
        <v>29</v>
      </c>
      <c r="B148" s="71">
        <v>30000</v>
      </c>
      <c r="C148" s="620" t="s">
        <v>84</v>
      </c>
      <c r="D148" s="574">
        <v>3425</v>
      </c>
      <c r="E148" s="574" t="s">
        <v>37</v>
      </c>
      <c r="F148" s="80">
        <v>1965</v>
      </c>
      <c r="G148" s="663">
        <f t="shared" si="17"/>
        <v>6725.227835000003</v>
      </c>
      <c r="H148" s="19">
        <f t="shared" si="18"/>
        <v>22923.690000000002</v>
      </c>
      <c r="I148" s="511">
        <f>Ctrl!$J$12</f>
        <v>414149</v>
      </c>
      <c r="J148" s="19"/>
      <c r="K148" s="21">
        <f t="shared" si="19"/>
        <v>12424.47</v>
      </c>
      <c r="L148" s="21">
        <f t="shared" si="20"/>
        <v>7040.533</v>
      </c>
      <c r="M148" s="21">
        <f t="shared" si="21"/>
        <v>6626.384</v>
      </c>
      <c r="N148" s="19">
        <f t="shared" si="16"/>
        <v>1242.4470000000001</v>
      </c>
      <c r="O148" s="505">
        <f t="shared" si="22"/>
        <v>2945.6941650000003</v>
      </c>
      <c r="P148" s="505"/>
    </row>
    <row r="149" spans="1:16" ht="22.5" customHeight="1">
      <c r="A149" s="36">
        <v>30</v>
      </c>
      <c r="B149" s="55">
        <v>30000</v>
      </c>
      <c r="C149" s="624" t="s">
        <v>31</v>
      </c>
      <c r="D149" s="575">
        <v>950</v>
      </c>
      <c r="E149" s="57" t="s">
        <v>145</v>
      </c>
      <c r="F149" s="77">
        <v>965</v>
      </c>
      <c r="G149" s="654">
        <f t="shared" si="17"/>
        <v>4308.196834999999</v>
      </c>
      <c r="H149" s="19">
        <f t="shared" si="18"/>
        <v>11257.69</v>
      </c>
      <c r="I149" s="511">
        <f>Ctrl!$J$4</f>
        <v>171965</v>
      </c>
      <c r="J149" s="19"/>
      <c r="K149" s="21">
        <f t="shared" si="19"/>
        <v>5158.95</v>
      </c>
      <c r="L149" s="21">
        <f t="shared" si="20"/>
        <v>2923.405</v>
      </c>
      <c r="M149" s="21">
        <f t="shared" si="21"/>
        <v>2751.44</v>
      </c>
      <c r="N149" s="19">
        <f t="shared" si="16"/>
        <v>515.895</v>
      </c>
      <c r="O149" s="505">
        <f t="shared" si="22"/>
        <v>1446.6131650000002</v>
      </c>
      <c r="P149" s="505"/>
    </row>
    <row r="150" spans="1:16" ht="22.5" customHeight="1">
      <c r="A150" s="36">
        <v>30</v>
      </c>
      <c r="B150" s="55">
        <v>30000</v>
      </c>
      <c r="C150" s="36" t="s">
        <v>264</v>
      </c>
      <c r="D150" s="57">
        <v>1380</v>
      </c>
      <c r="E150" s="57" t="s">
        <v>145</v>
      </c>
      <c r="F150" s="77">
        <v>1230</v>
      </c>
      <c r="G150" s="654">
        <f t="shared" si="17"/>
        <v>5499.26237</v>
      </c>
      <c r="H150" s="19">
        <f t="shared" si="18"/>
        <v>14349.18</v>
      </c>
      <c r="I150" s="511">
        <f>Ctrl!$J$6</f>
        <v>218939</v>
      </c>
      <c r="J150" s="19"/>
      <c r="K150" s="21">
        <f t="shared" si="19"/>
        <v>6568.17</v>
      </c>
      <c r="L150" s="21">
        <f t="shared" si="20"/>
        <v>3721.963</v>
      </c>
      <c r="M150" s="21">
        <f t="shared" si="21"/>
        <v>3503.024</v>
      </c>
      <c r="N150" s="19">
        <f t="shared" si="16"/>
        <v>656.817</v>
      </c>
      <c r="O150" s="505">
        <f t="shared" si="22"/>
        <v>1843.8696300000001</v>
      </c>
      <c r="P150" s="505"/>
    </row>
    <row r="151" spans="1:16" ht="22.5" customHeight="1">
      <c r="A151" s="36">
        <v>30</v>
      </c>
      <c r="B151" s="55">
        <v>30000</v>
      </c>
      <c r="C151" s="624" t="s">
        <v>116</v>
      </c>
      <c r="D151" s="57">
        <v>1825</v>
      </c>
      <c r="E151" s="57" t="s">
        <v>145</v>
      </c>
      <c r="F151" s="77">
        <v>1500</v>
      </c>
      <c r="G151" s="77">
        <f t="shared" si="17"/>
        <v>7256.842500000002</v>
      </c>
      <c r="H151" s="19">
        <f t="shared" si="18"/>
        <v>17499</v>
      </c>
      <c r="I151" s="511">
        <f>Ctrl!$J$8</f>
        <v>249798</v>
      </c>
      <c r="J151" s="19"/>
      <c r="K151" s="21">
        <f t="shared" si="19"/>
        <v>7493.94</v>
      </c>
      <c r="L151" s="21">
        <f t="shared" si="20"/>
        <v>4246.566000000001</v>
      </c>
      <c r="M151" s="21">
        <f t="shared" si="21"/>
        <v>3996.768</v>
      </c>
      <c r="N151" s="19">
        <f t="shared" si="16"/>
        <v>749.394</v>
      </c>
      <c r="O151" s="505">
        <f t="shared" si="22"/>
        <v>2248.6215</v>
      </c>
      <c r="P151" s="505"/>
    </row>
    <row r="152" spans="1:16" ht="22.5" customHeight="1">
      <c r="A152" s="36">
        <v>30</v>
      </c>
      <c r="B152" s="55">
        <v>30000</v>
      </c>
      <c r="C152" s="624" t="s">
        <v>246</v>
      </c>
      <c r="D152" s="57">
        <v>2525</v>
      </c>
      <c r="E152" s="57" t="s">
        <v>145</v>
      </c>
      <c r="F152" s="77">
        <v>1650</v>
      </c>
      <c r="G152" s="654">
        <f t="shared" si="17"/>
        <v>6443.480350000002</v>
      </c>
      <c r="H152" s="19">
        <f t="shared" si="18"/>
        <v>19248.9</v>
      </c>
      <c r="I152" s="511">
        <f>Ctrl!$J$10</f>
        <v>322873</v>
      </c>
      <c r="J152" s="19"/>
      <c r="K152" s="21">
        <f t="shared" si="19"/>
        <v>9686.19</v>
      </c>
      <c r="L152" s="21">
        <f t="shared" si="20"/>
        <v>5488.841</v>
      </c>
      <c r="M152" s="21">
        <f t="shared" si="21"/>
        <v>5165.968</v>
      </c>
      <c r="N152" s="19">
        <f t="shared" si="16"/>
        <v>968.619</v>
      </c>
      <c r="O152" s="505">
        <f t="shared" si="22"/>
        <v>2473.48365</v>
      </c>
      <c r="P152" s="505"/>
    </row>
    <row r="153" spans="1:16" ht="22.5" customHeight="1">
      <c r="A153" s="36">
        <v>30</v>
      </c>
      <c r="B153" s="55">
        <v>30000</v>
      </c>
      <c r="C153" s="624" t="s">
        <v>84</v>
      </c>
      <c r="D153" s="57">
        <v>3425</v>
      </c>
      <c r="E153" s="57" t="s">
        <v>145</v>
      </c>
      <c r="F153" s="77">
        <v>1915</v>
      </c>
      <c r="G153" s="654">
        <f t="shared" si="17"/>
        <v>6216.881885000001</v>
      </c>
      <c r="H153" s="19">
        <f t="shared" si="18"/>
        <v>22340.39</v>
      </c>
      <c r="I153" s="511">
        <f>Ctrl!$J$12</f>
        <v>414149</v>
      </c>
      <c r="J153" s="19"/>
      <c r="K153" s="21">
        <f t="shared" si="19"/>
        <v>12424.47</v>
      </c>
      <c r="L153" s="21">
        <f t="shared" si="20"/>
        <v>7040.533</v>
      </c>
      <c r="M153" s="21">
        <f t="shared" si="21"/>
        <v>6626.384</v>
      </c>
      <c r="N153" s="19">
        <f t="shared" si="16"/>
        <v>1242.4470000000001</v>
      </c>
      <c r="O153" s="505">
        <f t="shared" si="22"/>
        <v>2870.740115</v>
      </c>
      <c r="P153" s="505"/>
    </row>
    <row r="154" spans="1:16" ht="22.5" customHeight="1">
      <c r="A154" s="445">
        <v>31</v>
      </c>
      <c r="B154" s="446">
        <v>30000</v>
      </c>
      <c r="C154" s="630" t="s">
        <v>31</v>
      </c>
      <c r="D154" s="447">
        <v>950</v>
      </c>
      <c r="E154" s="577" t="s">
        <v>276</v>
      </c>
      <c r="F154" s="449">
        <v>990</v>
      </c>
      <c r="G154" s="655">
        <f t="shared" si="17"/>
        <v>4562.369809999999</v>
      </c>
      <c r="H154" s="19">
        <f t="shared" si="18"/>
        <v>11549.34</v>
      </c>
      <c r="I154" s="511">
        <f>Ctrl!$J$4</f>
        <v>171965</v>
      </c>
      <c r="J154" s="19"/>
      <c r="K154" s="21">
        <f t="shared" si="19"/>
        <v>5158.95</v>
      </c>
      <c r="L154" s="21">
        <f t="shared" si="20"/>
        <v>2923.405</v>
      </c>
      <c r="M154" s="21">
        <f t="shared" si="21"/>
        <v>2751.44</v>
      </c>
      <c r="N154" s="19">
        <f t="shared" si="16"/>
        <v>515.895</v>
      </c>
      <c r="O154" s="505">
        <f t="shared" si="22"/>
        <v>1484.0901900000001</v>
      </c>
      <c r="P154" s="505"/>
    </row>
    <row r="155" spans="1:16" ht="22.5" customHeight="1">
      <c r="A155" s="445">
        <v>31</v>
      </c>
      <c r="B155" s="446">
        <v>30000</v>
      </c>
      <c r="C155" s="445" t="s">
        <v>264</v>
      </c>
      <c r="D155" s="447">
        <v>1380</v>
      </c>
      <c r="E155" s="577" t="s">
        <v>276</v>
      </c>
      <c r="F155" s="449">
        <v>1255</v>
      </c>
      <c r="G155" s="655">
        <f t="shared" si="17"/>
        <v>5753.435345</v>
      </c>
      <c r="H155" s="19">
        <f t="shared" si="18"/>
        <v>14640.83</v>
      </c>
      <c r="I155" s="511">
        <f>Ctrl!$J$6</f>
        <v>218939</v>
      </c>
      <c r="J155" s="19"/>
      <c r="K155" s="21">
        <f t="shared" si="19"/>
        <v>6568.17</v>
      </c>
      <c r="L155" s="21">
        <f t="shared" si="20"/>
        <v>3721.963</v>
      </c>
      <c r="M155" s="21">
        <f t="shared" si="21"/>
        <v>3503.024</v>
      </c>
      <c r="N155" s="19">
        <f t="shared" si="16"/>
        <v>656.817</v>
      </c>
      <c r="O155" s="505">
        <f t="shared" si="22"/>
        <v>1881.346655</v>
      </c>
      <c r="P155" s="505"/>
    </row>
    <row r="156" spans="1:16" ht="22.5" customHeight="1">
      <c r="A156" s="445">
        <v>31</v>
      </c>
      <c r="B156" s="446">
        <v>30000</v>
      </c>
      <c r="C156" s="630" t="s">
        <v>116</v>
      </c>
      <c r="D156" s="447">
        <v>1825</v>
      </c>
      <c r="E156" s="577" t="s">
        <v>276</v>
      </c>
      <c r="F156" s="449">
        <v>1525</v>
      </c>
      <c r="G156" s="616">
        <f t="shared" si="17"/>
        <v>7511.015475000003</v>
      </c>
      <c r="H156" s="19">
        <f t="shared" si="18"/>
        <v>17790.65</v>
      </c>
      <c r="I156" s="511">
        <f>Ctrl!$J$8</f>
        <v>249798</v>
      </c>
      <c r="J156" s="19"/>
      <c r="K156" s="21">
        <f t="shared" si="19"/>
        <v>7493.94</v>
      </c>
      <c r="L156" s="21">
        <f t="shared" si="20"/>
        <v>4246.566000000001</v>
      </c>
      <c r="M156" s="21">
        <f t="shared" si="21"/>
        <v>3996.768</v>
      </c>
      <c r="N156" s="19">
        <f t="shared" si="16"/>
        <v>749.394</v>
      </c>
      <c r="O156" s="505">
        <f t="shared" si="22"/>
        <v>2286.0985250000003</v>
      </c>
      <c r="P156" s="505"/>
    </row>
    <row r="157" spans="1:16" ht="22.5" customHeight="1">
      <c r="A157" s="445">
        <v>31</v>
      </c>
      <c r="B157" s="446">
        <v>30000</v>
      </c>
      <c r="C157" s="630" t="s">
        <v>246</v>
      </c>
      <c r="D157" s="447">
        <v>2525</v>
      </c>
      <c r="E157" s="577" t="s">
        <v>276</v>
      </c>
      <c r="F157" s="449">
        <v>1675</v>
      </c>
      <c r="G157" s="655">
        <f t="shared" si="17"/>
        <v>6697.653324999999</v>
      </c>
      <c r="H157" s="19">
        <f t="shared" si="18"/>
        <v>19540.55</v>
      </c>
      <c r="I157" s="511">
        <f>Ctrl!$J$10</f>
        <v>322873</v>
      </c>
      <c r="J157" s="19"/>
      <c r="K157" s="21">
        <f t="shared" si="19"/>
        <v>9686.19</v>
      </c>
      <c r="L157" s="21">
        <f t="shared" si="20"/>
        <v>5488.841</v>
      </c>
      <c r="M157" s="21">
        <f t="shared" si="21"/>
        <v>5165.968</v>
      </c>
      <c r="N157" s="19">
        <f t="shared" si="16"/>
        <v>968.619</v>
      </c>
      <c r="O157" s="505">
        <f t="shared" si="22"/>
        <v>2510.960675</v>
      </c>
      <c r="P157" s="505"/>
    </row>
    <row r="158" spans="1:16" ht="22.5" customHeight="1">
      <c r="A158" s="445">
        <v>31</v>
      </c>
      <c r="B158" s="446">
        <v>30000</v>
      </c>
      <c r="C158" s="630" t="s">
        <v>84</v>
      </c>
      <c r="D158" s="447">
        <v>3425</v>
      </c>
      <c r="E158" s="577" t="s">
        <v>276</v>
      </c>
      <c r="F158" s="449">
        <v>1940</v>
      </c>
      <c r="G158" s="655">
        <f t="shared" si="17"/>
        <v>6471.054860000002</v>
      </c>
      <c r="H158" s="19">
        <f t="shared" si="18"/>
        <v>22632.04</v>
      </c>
      <c r="I158" s="511">
        <f>Ctrl!$J$12</f>
        <v>414149</v>
      </c>
      <c r="J158" s="19"/>
      <c r="K158" s="21">
        <f t="shared" si="19"/>
        <v>12424.47</v>
      </c>
      <c r="L158" s="21">
        <f t="shared" si="20"/>
        <v>7040.533</v>
      </c>
      <c r="M158" s="21">
        <f t="shared" si="21"/>
        <v>6626.384</v>
      </c>
      <c r="N158" s="19">
        <f t="shared" si="16"/>
        <v>1242.4470000000001</v>
      </c>
      <c r="O158" s="505">
        <f t="shared" si="22"/>
        <v>2908.21714</v>
      </c>
      <c r="P158" s="505"/>
    </row>
    <row r="159" spans="1:16" ht="22.5" customHeight="1">
      <c r="A159" s="39">
        <v>32</v>
      </c>
      <c r="B159" s="51">
        <v>30000</v>
      </c>
      <c r="C159" s="633" t="s">
        <v>31</v>
      </c>
      <c r="D159" s="58">
        <v>950</v>
      </c>
      <c r="E159" s="58" t="s">
        <v>147</v>
      </c>
      <c r="F159" s="99">
        <v>1040</v>
      </c>
      <c r="G159" s="586">
        <f t="shared" si="17"/>
        <v>4952.785760000001</v>
      </c>
      <c r="H159" s="19">
        <f t="shared" si="18"/>
        <v>12132.640000000001</v>
      </c>
      <c r="I159" s="511">
        <f>Ctrl!$J$4</f>
        <v>171965</v>
      </c>
      <c r="J159" s="98"/>
      <c r="K159" s="21">
        <f t="shared" si="19"/>
        <v>5158.95</v>
      </c>
      <c r="L159" s="21">
        <f t="shared" si="20"/>
        <v>2923.405</v>
      </c>
      <c r="M159" s="21">
        <f t="shared" si="21"/>
        <v>2751.44</v>
      </c>
      <c r="N159" s="98">
        <v>633.825</v>
      </c>
      <c r="O159" s="505">
        <f t="shared" si="22"/>
        <v>1559.0442400000002</v>
      </c>
      <c r="P159" s="505"/>
    </row>
    <row r="160" spans="1:15" ht="22.5" customHeight="1">
      <c r="A160" s="39">
        <v>32</v>
      </c>
      <c r="B160" s="51">
        <v>30000</v>
      </c>
      <c r="C160" s="39" t="s">
        <v>264</v>
      </c>
      <c r="D160" s="58">
        <v>1380</v>
      </c>
      <c r="E160" s="58" t="s">
        <v>147</v>
      </c>
      <c r="F160" s="99">
        <v>1305</v>
      </c>
      <c r="G160" s="586">
        <f t="shared" si="17"/>
        <v>6261.7812950000025</v>
      </c>
      <c r="H160" s="19">
        <f t="shared" si="18"/>
        <v>15224.130000000001</v>
      </c>
      <c r="I160" s="511">
        <f>Ctrl!$J$6</f>
        <v>218939</v>
      </c>
      <c r="K160" s="21">
        <f t="shared" si="19"/>
        <v>6568.17</v>
      </c>
      <c r="L160" s="21">
        <f t="shared" si="20"/>
        <v>3721.963</v>
      </c>
      <c r="M160" s="21">
        <f t="shared" si="21"/>
        <v>3503.024</v>
      </c>
      <c r="N160" s="19">
        <f>$N$2*I160</f>
        <v>656.817</v>
      </c>
      <c r="O160" s="505">
        <f t="shared" si="22"/>
        <v>1956.300705</v>
      </c>
    </row>
    <row r="161" spans="1:16" ht="22.5" customHeight="1">
      <c r="A161" s="39">
        <v>32</v>
      </c>
      <c r="B161" s="51">
        <v>30000</v>
      </c>
      <c r="C161" s="633" t="s">
        <v>116</v>
      </c>
      <c r="D161" s="58">
        <v>1825</v>
      </c>
      <c r="E161" s="58" t="s">
        <v>147</v>
      </c>
      <c r="F161" s="99">
        <v>1575</v>
      </c>
      <c r="G161" s="617">
        <f t="shared" si="17"/>
        <v>8019.361425000003</v>
      </c>
      <c r="H161" s="19">
        <f t="shared" si="18"/>
        <v>18373.95</v>
      </c>
      <c r="I161" s="511">
        <f>Ctrl!$J$8</f>
        <v>249798</v>
      </c>
      <c r="J161" s="19"/>
      <c r="K161" s="21">
        <f t="shared" si="19"/>
        <v>7493.94</v>
      </c>
      <c r="L161" s="21">
        <f t="shared" si="20"/>
        <v>4246.566000000001</v>
      </c>
      <c r="M161" s="21">
        <f t="shared" si="21"/>
        <v>3996.768</v>
      </c>
      <c r="N161" s="19">
        <f>$N$2*I161</f>
        <v>749.394</v>
      </c>
      <c r="O161" s="505">
        <f t="shared" si="22"/>
        <v>2361.052575</v>
      </c>
      <c r="P161" s="505"/>
    </row>
    <row r="162" spans="1:16" ht="22.5" customHeight="1">
      <c r="A162" s="39">
        <v>32</v>
      </c>
      <c r="B162" s="51">
        <v>30000</v>
      </c>
      <c r="C162" s="633" t="s">
        <v>246</v>
      </c>
      <c r="D162" s="58">
        <v>2525</v>
      </c>
      <c r="E162" s="58" t="s">
        <v>147</v>
      </c>
      <c r="F162" s="99">
        <v>1725</v>
      </c>
      <c r="G162" s="586">
        <f t="shared" si="17"/>
        <v>7205.999275000002</v>
      </c>
      <c r="H162" s="19">
        <f t="shared" si="18"/>
        <v>20123.850000000002</v>
      </c>
      <c r="I162" s="511">
        <f>Ctrl!$J$10</f>
        <v>322873</v>
      </c>
      <c r="J162" s="19"/>
      <c r="K162" s="21">
        <f t="shared" si="19"/>
        <v>9686.19</v>
      </c>
      <c r="L162" s="21">
        <f t="shared" si="20"/>
        <v>5488.841</v>
      </c>
      <c r="M162" s="21">
        <f t="shared" si="21"/>
        <v>5165.968</v>
      </c>
      <c r="N162" s="19">
        <f>$N$2*I162</f>
        <v>968.619</v>
      </c>
      <c r="O162" s="505">
        <f t="shared" si="22"/>
        <v>2585.9147250000005</v>
      </c>
      <c r="P162" s="505"/>
    </row>
    <row r="163" spans="1:16" ht="22.5" customHeight="1">
      <c r="A163" s="39">
        <v>32</v>
      </c>
      <c r="B163" s="51">
        <v>30000</v>
      </c>
      <c r="C163" s="633" t="s">
        <v>84</v>
      </c>
      <c r="D163" s="58">
        <v>3425</v>
      </c>
      <c r="E163" s="58" t="s">
        <v>147</v>
      </c>
      <c r="F163" s="99">
        <v>1990</v>
      </c>
      <c r="G163" s="586">
        <f t="shared" si="17"/>
        <v>6979.400810000002</v>
      </c>
      <c r="H163" s="19">
        <f t="shared" si="18"/>
        <v>23215.34</v>
      </c>
      <c r="I163" s="511">
        <f>Ctrl!$J$12</f>
        <v>414149</v>
      </c>
      <c r="J163" s="19"/>
      <c r="K163" s="21">
        <f t="shared" si="19"/>
        <v>12424.47</v>
      </c>
      <c r="L163" s="21">
        <f t="shared" si="20"/>
        <v>7040.533</v>
      </c>
      <c r="M163" s="21">
        <f t="shared" si="21"/>
        <v>6626.384</v>
      </c>
      <c r="N163" s="19">
        <f>$N$2*I163</f>
        <v>1242.4470000000001</v>
      </c>
      <c r="O163" s="505">
        <f t="shared" si="22"/>
        <v>2983.17119</v>
      </c>
      <c r="P163" s="505"/>
    </row>
    <row r="164" spans="1:16" ht="22.5" customHeight="1">
      <c r="A164" s="49">
        <v>33</v>
      </c>
      <c r="B164" s="37">
        <v>30000</v>
      </c>
      <c r="C164" s="631" t="s">
        <v>238</v>
      </c>
      <c r="D164" s="576">
        <v>950</v>
      </c>
      <c r="E164" s="576" t="s">
        <v>146</v>
      </c>
      <c r="F164" s="81">
        <v>1065</v>
      </c>
      <c r="G164" s="656">
        <f t="shared" si="17"/>
        <v>5356.958735</v>
      </c>
      <c r="H164" s="19">
        <f t="shared" si="18"/>
        <v>12424.29</v>
      </c>
      <c r="I164" s="511">
        <f>Ctrl!$J$4</f>
        <v>171965</v>
      </c>
      <c r="J164" s="98"/>
      <c r="K164" s="21">
        <f t="shared" si="19"/>
        <v>5158.95</v>
      </c>
      <c r="L164" s="21">
        <f t="shared" si="20"/>
        <v>2923.405</v>
      </c>
      <c r="M164" s="21">
        <f t="shared" si="21"/>
        <v>2751.44</v>
      </c>
      <c r="N164" s="98">
        <v>483.825</v>
      </c>
      <c r="O164" s="505">
        <f t="shared" si="22"/>
        <v>1596.521265</v>
      </c>
      <c r="P164" s="505"/>
    </row>
    <row r="165" spans="1:15" ht="22.5" customHeight="1">
      <c r="A165" s="49">
        <v>33</v>
      </c>
      <c r="B165" s="37">
        <v>30000</v>
      </c>
      <c r="C165" s="25" t="s">
        <v>264</v>
      </c>
      <c r="D165" s="59">
        <v>1380</v>
      </c>
      <c r="E165" s="59" t="s">
        <v>146</v>
      </c>
      <c r="F165" s="81">
        <v>1330</v>
      </c>
      <c r="G165" s="656">
        <f t="shared" si="17"/>
        <v>6515.95427</v>
      </c>
      <c r="H165" s="19">
        <f t="shared" si="18"/>
        <v>15515.78</v>
      </c>
      <c r="I165" s="511">
        <f>Ctrl!$J$6</f>
        <v>218939</v>
      </c>
      <c r="K165" s="21">
        <f t="shared" si="19"/>
        <v>6568.17</v>
      </c>
      <c r="L165" s="21">
        <f t="shared" si="20"/>
        <v>3721.963</v>
      </c>
      <c r="M165" s="21">
        <f t="shared" si="21"/>
        <v>3503.024</v>
      </c>
      <c r="N165" s="19">
        <f aca="true" t="shared" si="23" ref="N165:N188">$N$2*I165</f>
        <v>656.817</v>
      </c>
      <c r="O165" s="505">
        <f t="shared" si="22"/>
        <v>1993.77773</v>
      </c>
    </row>
    <row r="166" spans="1:16" ht="22.5" customHeight="1">
      <c r="A166" s="49">
        <v>33</v>
      </c>
      <c r="B166" s="37">
        <v>30000</v>
      </c>
      <c r="C166" s="627" t="s">
        <v>116</v>
      </c>
      <c r="D166" s="59">
        <v>1825</v>
      </c>
      <c r="E166" s="576" t="s">
        <v>146</v>
      </c>
      <c r="F166" s="81">
        <v>1600</v>
      </c>
      <c r="G166" s="81">
        <f t="shared" si="17"/>
        <v>8273.534400000004</v>
      </c>
      <c r="H166" s="19">
        <f t="shared" si="18"/>
        <v>18665.600000000002</v>
      </c>
      <c r="I166" s="511">
        <f>Ctrl!$J$8</f>
        <v>249798</v>
      </c>
      <c r="J166" s="19"/>
      <c r="K166" s="21">
        <f t="shared" si="19"/>
        <v>7493.94</v>
      </c>
      <c r="L166" s="21">
        <f t="shared" si="20"/>
        <v>4246.566000000001</v>
      </c>
      <c r="M166" s="21">
        <f t="shared" si="21"/>
        <v>3996.768</v>
      </c>
      <c r="N166" s="19">
        <f t="shared" si="23"/>
        <v>749.394</v>
      </c>
      <c r="O166" s="505">
        <f t="shared" si="22"/>
        <v>2398.5296000000003</v>
      </c>
      <c r="P166" s="505"/>
    </row>
    <row r="167" spans="1:16" ht="22.5" customHeight="1">
      <c r="A167" s="49">
        <v>33</v>
      </c>
      <c r="B167" s="37">
        <v>30000</v>
      </c>
      <c r="C167" s="627" t="s">
        <v>246</v>
      </c>
      <c r="D167" s="59">
        <v>2525</v>
      </c>
      <c r="E167" s="576" t="s">
        <v>146</v>
      </c>
      <c r="F167" s="81">
        <v>1750</v>
      </c>
      <c r="G167" s="656">
        <f t="shared" si="17"/>
        <v>7460.17225</v>
      </c>
      <c r="H167" s="19">
        <f t="shared" si="18"/>
        <v>20415.5</v>
      </c>
      <c r="I167" s="511">
        <f>Ctrl!$J$10</f>
        <v>322873</v>
      </c>
      <c r="J167" s="19"/>
      <c r="K167" s="21">
        <f t="shared" si="19"/>
        <v>9686.19</v>
      </c>
      <c r="L167" s="21">
        <f t="shared" si="20"/>
        <v>5488.841</v>
      </c>
      <c r="M167" s="21">
        <f t="shared" si="21"/>
        <v>5165.968</v>
      </c>
      <c r="N167" s="19">
        <f t="shared" si="23"/>
        <v>968.619</v>
      </c>
      <c r="O167" s="505">
        <f t="shared" si="22"/>
        <v>2623.3917500000002</v>
      </c>
      <c r="P167" s="505"/>
    </row>
    <row r="168" spans="1:16" ht="22.5" customHeight="1">
      <c r="A168" s="25">
        <v>33</v>
      </c>
      <c r="B168" s="37">
        <v>30000</v>
      </c>
      <c r="C168" s="627" t="s">
        <v>347</v>
      </c>
      <c r="D168" s="59">
        <v>3425</v>
      </c>
      <c r="E168" s="59" t="s">
        <v>146</v>
      </c>
      <c r="F168" s="81">
        <v>2015</v>
      </c>
      <c r="G168" s="656">
        <f t="shared" si="17"/>
        <v>7233.573785000003</v>
      </c>
      <c r="H168" s="19">
        <f t="shared" si="18"/>
        <v>23506.99</v>
      </c>
      <c r="I168" s="511">
        <f>Ctrl!$J$12</f>
        <v>414149</v>
      </c>
      <c r="J168" s="19"/>
      <c r="K168" s="21">
        <f t="shared" si="19"/>
        <v>12424.47</v>
      </c>
      <c r="L168" s="21">
        <f t="shared" si="20"/>
        <v>7040.533</v>
      </c>
      <c r="M168" s="21">
        <f t="shared" si="21"/>
        <v>6626.384</v>
      </c>
      <c r="N168" s="19">
        <f t="shared" si="23"/>
        <v>1242.4470000000001</v>
      </c>
      <c r="O168" s="505">
        <f t="shared" si="22"/>
        <v>3020.648215</v>
      </c>
      <c r="P168" s="505"/>
    </row>
    <row r="169" spans="1:16" ht="22.5" customHeight="1">
      <c r="A169" s="38">
        <v>34</v>
      </c>
      <c r="B169" s="54">
        <v>30000</v>
      </c>
      <c r="C169" s="632" t="s">
        <v>31</v>
      </c>
      <c r="D169" s="89">
        <v>950</v>
      </c>
      <c r="E169" s="88" t="s">
        <v>366</v>
      </c>
      <c r="F169" s="82">
        <v>1090</v>
      </c>
      <c r="G169" s="693">
        <f t="shared" si="17"/>
        <v>5579.06171</v>
      </c>
      <c r="H169" s="19">
        <f t="shared" si="18"/>
        <v>12715.94</v>
      </c>
      <c r="I169" s="511">
        <f>Ctrl!$J$4</f>
        <v>171965</v>
      </c>
      <c r="J169" s="19"/>
      <c r="K169" s="21">
        <f t="shared" si="19"/>
        <v>5158.95</v>
      </c>
      <c r="L169" s="21">
        <f t="shared" si="20"/>
        <v>2923.405</v>
      </c>
      <c r="M169" s="21">
        <f t="shared" si="21"/>
        <v>2751.44</v>
      </c>
      <c r="N169" s="19">
        <f t="shared" si="23"/>
        <v>515.895</v>
      </c>
      <c r="O169" s="505">
        <f t="shared" si="22"/>
        <v>1633.99829</v>
      </c>
      <c r="P169" s="505"/>
    </row>
    <row r="170" spans="1:15" ht="22.5" customHeight="1">
      <c r="A170" s="38">
        <v>34</v>
      </c>
      <c r="B170" s="54">
        <v>30000</v>
      </c>
      <c r="C170" s="38" t="s">
        <v>264</v>
      </c>
      <c r="D170" s="89">
        <v>1380</v>
      </c>
      <c r="E170" s="88" t="s">
        <v>366</v>
      </c>
      <c r="F170" s="82">
        <v>1355</v>
      </c>
      <c r="G170" s="693">
        <f t="shared" si="17"/>
        <v>6770.1272450000015</v>
      </c>
      <c r="H170" s="19">
        <f t="shared" si="18"/>
        <v>15807.43</v>
      </c>
      <c r="I170" s="511">
        <f>Ctrl!$J$6</f>
        <v>218939</v>
      </c>
      <c r="K170" s="21">
        <f t="shared" si="19"/>
        <v>6568.17</v>
      </c>
      <c r="L170" s="21">
        <f t="shared" si="20"/>
        <v>3721.963</v>
      </c>
      <c r="M170" s="21">
        <f t="shared" si="21"/>
        <v>3503.024</v>
      </c>
      <c r="N170" s="19">
        <f t="shared" si="23"/>
        <v>656.817</v>
      </c>
      <c r="O170" s="505">
        <f t="shared" si="22"/>
        <v>2031.2547550000002</v>
      </c>
    </row>
    <row r="171" spans="1:16" ht="22.5" customHeight="1">
      <c r="A171" s="38">
        <v>34</v>
      </c>
      <c r="B171" s="54">
        <v>30000</v>
      </c>
      <c r="C171" s="632" t="s">
        <v>116</v>
      </c>
      <c r="D171" s="89">
        <v>1825</v>
      </c>
      <c r="E171" s="88" t="s">
        <v>366</v>
      </c>
      <c r="F171" s="82">
        <v>1625</v>
      </c>
      <c r="G171" s="82">
        <f t="shared" si="17"/>
        <v>8527.707375000002</v>
      </c>
      <c r="H171" s="19">
        <f t="shared" si="18"/>
        <v>18957.25</v>
      </c>
      <c r="I171" s="511">
        <f>Ctrl!$J$8</f>
        <v>249798</v>
      </c>
      <c r="J171" s="19"/>
      <c r="K171" s="21">
        <f t="shared" si="19"/>
        <v>7493.94</v>
      </c>
      <c r="L171" s="21">
        <f t="shared" si="20"/>
        <v>4246.566000000001</v>
      </c>
      <c r="M171" s="21">
        <f t="shared" si="21"/>
        <v>3996.768</v>
      </c>
      <c r="N171" s="19">
        <f t="shared" si="23"/>
        <v>749.394</v>
      </c>
      <c r="O171" s="505">
        <f t="shared" si="22"/>
        <v>2436.006625</v>
      </c>
      <c r="P171" s="505"/>
    </row>
    <row r="172" spans="1:16" ht="22.5" customHeight="1">
      <c r="A172" s="38">
        <v>34</v>
      </c>
      <c r="B172" s="54">
        <v>30000</v>
      </c>
      <c r="C172" s="632" t="s">
        <v>246</v>
      </c>
      <c r="D172" s="89">
        <v>2525</v>
      </c>
      <c r="E172" s="88" t="s">
        <v>366</v>
      </c>
      <c r="F172" s="82">
        <v>1775</v>
      </c>
      <c r="G172" s="693">
        <f t="shared" si="17"/>
        <v>7714.345224999997</v>
      </c>
      <c r="H172" s="19">
        <f t="shared" si="18"/>
        <v>20707.15</v>
      </c>
      <c r="I172" s="511">
        <f>Ctrl!$J$10</f>
        <v>322873</v>
      </c>
      <c r="J172" s="19"/>
      <c r="K172" s="21">
        <f t="shared" si="19"/>
        <v>9686.19</v>
      </c>
      <c r="L172" s="21">
        <f t="shared" si="20"/>
        <v>5488.841</v>
      </c>
      <c r="M172" s="21">
        <f t="shared" si="21"/>
        <v>5165.968</v>
      </c>
      <c r="N172" s="19">
        <f t="shared" si="23"/>
        <v>968.619</v>
      </c>
      <c r="O172" s="505">
        <f t="shared" si="22"/>
        <v>2660.8687750000004</v>
      </c>
      <c r="P172" s="505"/>
    </row>
    <row r="173" spans="1:16" ht="22.5" customHeight="1">
      <c r="A173" s="38">
        <v>34</v>
      </c>
      <c r="B173" s="54">
        <v>30000</v>
      </c>
      <c r="C173" s="632" t="s">
        <v>347</v>
      </c>
      <c r="D173" s="89">
        <v>3425</v>
      </c>
      <c r="E173" s="88" t="s">
        <v>369</v>
      </c>
      <c r="F173" s="82">
        <v>2040</v>
      </c>
      <c r="G173" s="693">
        <f t="shared" si="17"/>
        <v>7487.746760000002</v>
      </c>
      <c r="H173" s="19">
        <f t="shared" si="18"/>
        <v>23798.64</v>
      </c>
      <c r="I173" s="511">
        <f>Ctrl!$J$12</f>
        <v>414149</v>
      </c>
      <c r="J173" s="19"/>
      <c r="K173" s="21">
        <f t="shared" si="19"/>
        <v>12424.47</v>
      </c>
      <c r="L173" s="21">
        <f t="shared" si="20"/>
        <v>7040.533</v>
      </c>
      <c r="M173" s="21">
        <f t="shared" si="21"/>
        <v>6626.384</v>
      </c>
      <c r="N173" s="19">
        <f t="shared" si="23"/>
        <v>1242.4470000000001</v>
      </c>
      <c r="O173" s="505">
        <f t="shared" si="22"/>
        <v>3058.12524</v>
      </c>
      <c r="P173" s="505"/>
    </row>
    <row r="174" spans="1:16" ht="22.5" customHeight="1">
      <c r="A174" s="70">
        <v>35</v>
      </c>
      <c r="B174" s="71">
        <v>31686</v>
      </c>
      <c r="C174" s="620" t="s">
        <v>238</v>
      </c>
      <c r="D174" s="574">
        <v>950</v>
      </c>
      <c r="E174" s="574" t="s">
        <v>37</v>
      </c>
      <c r="F174" s="80">
        <v>1015</v>
      </c>
      <c r="G174" s="663">
        <f t="shared" si="17"/>
        <v>4816.542784999999</v>
      </c>
      <c r="H174" s="19">
        <f t="shared" si="18"/>
        <v>11840.99</v>
      </c>
      <c r="I174" s="511">
        <f>Ctrl!$J$4</f>
        <v>171965</v>
      </c>
      <c r="J174" s="19"/>
      <c r="K174" s="21">
        <f t="shared" si="19"/>
        <v>5158.95</v>
      </c>
      <c r="L174" s="21">
        <f t="shared" si="20"/>
        <v>2923.405</v>
      </c>
      <c r="M174" s="21">
        <f t="shared" si="21"/>
        <v>2751.44</v>
      </c>
      <c r="N174" s="19">
        <f t="shared" si="23"/>
        <v>515.895</v>
      </c>
      <c r="O174" s="505">
        <f t="shared" si="22"/>
        <v>1521.567215</v>
      </c>
      <c r="P174" s="505"/>
    </row>
    <row r="175" spans="1:16" ht="22.5" customHeight="1">
      <c r="A175" s="70">
        <v>35</v>
      </c>
      <c r="B175" s="71">
        <v>31686</v>
      </c>
      <c r="C175" s="70" t="s">
        <v>264</v>
      </c>
      <c r="D175" s="574">
        <v>1380</v>
      </c>
      <c r="E175" s="574" t="s">
        <v>37</v>
      </c>
      <c r="F175" s="80">
        <v>1280</v>
      </c>
      <c r="G175" s="663">
        <f t="shared" si="17"/>
        <v>6007.608319999999</v>
      </c>
      <c r="H175" s="19">
        <f t="shared" si="18"/>
        <v>14932.48</v>
      </c>
      <c r="I175" s="511">
        <f>Ctrl!$J$6</f>
        <v>218939</v>
      </c>
      <c r="J175" s="19"/>
      <c r="K175" s="21">
        <f t="shared" si="19"/>
        <v>6568.17</v>
      </c>
      <c r="L175" s="21">
        <f t="shared" si="20"/>
        <v>3721.963</v>
      </c>
      <c r="M175" s="21">
        <f t="shared" si="21"/>
        <v>3503.024</v>
      </c>
      <c r="N175" s="19">
        <f t="shared" si="23"/>
        <v>656.817</v>
      </c>
      <c r="O175" s="505">
        <f t="shared" si="22"/>
        <v>1918.82368</v>
      </c>
      <c r="P175" s="505"/>
    </row>
    <row r="176" spans="1:16" ht="22.5" customHeight="1">
      <c r="A176" s="70">
        <v>35</v>
      </c>
      <c r="B176" s="71">
        <v>31686</v>
      </c>
      <c r="C176" s="620" t="s">
        <v>116</v>
      </c>
      <c r="D176" s="574">
        <v>1825</v>
      </c>
      <c r="E176" s="574" t="s">
        <v>37</v>
      </c>
      <c r="F176" s="80">
        <v>1550</v>
      </c>
      <c r="G176" s="80">
        <f t="shared" si="17"/>
        <v>7765.1884500000015</v>
      </c>
      <c r="H176" s="19">
        <f t="shared" si="18"/>
        <v>18082.3</v>
      </c>
      <c r="I176" s="511">
        <f>Ctrl!$J$8</f>
        <v>249798</v>
      </c>
      <c r="J176" s="19"/>
      <c r="K176" s="21">
        <f t="shared" si="19"/>
        <v>7493.94</v>
      </c>
      <c r="L176" s="21">
        <f t="shared" si="20"/>
        <v>4246.566000000001</v>
      </c>
      <c r="M176" s="21">
        <f t="shared" si="21"/>
        <v>3996.768</v>
      </c>
      <c r="N176" s="19">
        <f t="shared" si="23"/>
        <v>749.394</v>
      </c>
      <c r="O176" s="505">
        <f t="shared" si="22"/>
        <v>2323.57555</v>
      </c>
      <c r="P176" s="505"/>
    </row>
    <row r="177" spans="1:16" ht="22.5" customHeight="1">
      <c r="A177" s="70">
        <v>35</v>
      </c>
      <c r="B177" s="71">
        <v>31686</v>
      </c>
      <c r="C177" s="620" t="s">
        <v>246</v>
      </c>
      <c r="D177" s="574">
        <v>2525</v>
      </c>
      <c r="E177" s="574" t="s">
        <v>37</v>
      </c>
      <c r="F177" s="80">
        <v>1700</v>
      </c>
      <c r="G177" s="663">
        <f t="shared" si="17"/>
        <v>6951.826300000001</v>
      </c>
      <c r="H177" s="19">
        <f t="shared" si="18"/>
        <v>19832.2</v>
      </c>
      <c r="I177" s="511">
        <f>Ctrl!$J$10</f>
        <v>322873</v>
      </c>
      <c r="J177" s="19"/>
      <c r="K177" s="21">
        <f t="shared" si="19"/>
        <v>9686.19</v>
      </c>
      <c r="L177" s="21">
        <f t="shared" si="20"/>
        <v>5488.841</v>
      </c>
      <c r="M177" s="21">
        <f t="shared" si="21"/>
        <v>5165.968</v>
      </c>
      <c r="N177" s="19">
        <f t="shared" si="23"/>
        <v>968.619</v>
      </c>
      <c r="O177" s="505">
        <f t="shared" si="22"/>
        <v>2548.4377</v>
      </c>
      <c r="P177" s="505"/>
    </row>
    <row r="178" spans="1:16" ht="22.5" customHeight="1">
      <c r="A178" s="70">
        <v>35</v>
      </c>
      <c r="B178" s="71">
        <v>31686</v>
      </c>
      <c r="C178" s="620" t="s">
        <v>84</v>
      </c>
      <c r="D178" s="574">
        <v>3425</v>
      </c>
      <c r="E178" s="574" t="s">
        <v>37</v>
      </c>
      <c r="F178" s="80">
        <v>1965</v>
      </c>
      <c r="G178" s="663">
        <f t="shared" si="17"/>
        <v>6725.227835000003</v>
      </c>
      <c r="H178" s="19">
        <f t="shared" si="18"/>
        <v>22923.690000000002</v>
      </c>
      <c r="I178" s="511">
        <f>Ctrl!$J$12</f>
        <v>414149</v>
      </c>
      <c r="J178" s="19"/>
      <c r="K178" s="21">
        <f t="shared" si="19"/>
        <v>12424.47</v>
      </c>
      <c r="L178" s="21">
        <f t="shared" si="20"/>
        <v>7040.533</v>
      </c>
      <c r="M178" s="21">
        <f t="shared" si="21"/>
        <v>6626.384</v>
      </c>
      <c r="N178" s="19">
        <f t="shared" si="23"/>
        <v>1242.4470000000001</v>
      </c>
      <c r="O178" s="505">
        <f t="shared" si="22"/>
        <v>2945.6941650000003</v>
      </c>
      <c r="P178" s="505"/>
    </row>
    <row r="179" spans="1:16" ht="22.5" customHeight="1">
      <c r="A179" s="36">
        <v>36</v>
      </c>
      <c r="B179" s="55">
        <v>31686</v>
      </c>
      <c r="C179" s="624" t="s">
        <v>31</v>
      </c>
      <c r="D179" s="575">
        <v>950</v>
      </c>
      <c r="E179" s="57" t="s">
        <v>145</v>
      </c>
      <c r="F179" s="615">
        <v>965</v>
      </c>
      <c r="G179" s="654">
        <f t="shared" si="17"/>
        <v>4308.196834999999</v>
      </c>
      <c r="H179" s="19">
        <f t="shared" si="18"/>
        <v>11257.69</v>
      </c>
      <c r="I179" s="511">
        <f>Ctrl!$J$4</f>
        <v>171965</v>
      </c>
      <c r="J179" s="19"/>
      <c r="K179" s="21">
        <f t="shared" si="19"/>
        <v>5158.95</v>
      </c>
      <c r="L179" s="21">
        <f t="shared" si="20"/>
        <v>2923.405</v>
      </c>
      <c r="M179" s="21">
        <f t="shared" si="21"/>
        <v>2751.44</v>
      </c>
      <c r="N179" s="19">
        <f t="shared" si="23"/>
        <v>515.895</v>
      </c>
      <c r="O179" s="505">
        <f t="shared" si="22"/>
        <v>1446.6131650000002</v>
      </c>
      <c r="P179" s="505"/>
    </row>
    <row r="180" spans="1:16" ht="22.5" customHeight="1">
      <c r="A180" s="36">
        <v>36</v>
      </c>
      <c r="B180" s="52">
        <v>31686</v>
      </c>
      <c r="C180" s="36" t="s">
        <v>264</v>
      </c>
      <c r="D180" s="57">
        <v>1380</v>
      </c>
      <c r="E180" s="57" t="s">
        <v>145</v>
      </c>
      <c r="F180" s="615">
        <v>1230</v>
      </c>
      <c r="G180" s="654">
        <f t="shared" si="17"/>
        <v>5499.26237</v>
      </c>
      <c r="H180" s="19">
        <f t="shared" si="18"/>
        <v>14349.18</v>
      </c>
      <c r="I180" s="511">
        <f>Ctrl!$J$6</f>
        <v>218939</v>
      </c>
      <c r="J180" s="19"/>
      <c r="K180" s="21">
        <f t="shared" si="19"/>
        <v>6568.17</v>
      </c>
      <c r="L180" s="21">
        <f t="shared" si="20"/>
        <v>3721.963</v>
      </c>
      <c r="M180" s="21">
        <f t="shared" si="21"/>
        <v>3503.024</v>
      </c>
      <c r="N180" s="19">
        <f t="shared" si="23"/>
        <v>656.817</v>
      </c>
      <c r="O180" s="505">
        <f t="shared" si="22"/>
        <v>1843.8696300000001</v>
      </c>
      <c r="P180" s="505"/>
    </row>
    <row r="181" spans="1:16" ht="22.5" customHeight="1">
      <c r="A181" s="36">
        <v>36</v>
      </c>
      <c r="B181" s="52">
        <v>31686</v>
      </c>
      <c r="C181" s="624" t="s">
        <v>116</v>
      </c>
      <c r="D181" s="57">
        <v>1825</v>
      </c>
      <c r="E181" s="57" t="s">
        <v>145</v>
      </c>
      <c r="F181" s="615">
        <v>1500</v>
      </c>
      <c r="G181" s="77">
        <f t="shared" si="17"/>
        <v>7256.842500000002</v>
      </c>
      <c r="H181" s="19">
        <f t="shared" si="18"/>
        <v>17499</v>
      </c>
      <c r="I181" s="511">
        <f>Ctrl!$J$8</f>
        <v>249798</v>
      </c>
      <c r="J181" s="19"/>
      <c r="K181" s="21">
        <f t="shared" si="19"/>
        <v>7493.94</v>
      </c>
      <c r="L181" s="21">
        <f t="shared" si="20"/>
        <v>4246.566000000001</v>
      </c>
      <c r="M181" s="21">
        <f t="shared" si="21"/>
        <v>3996.768</v>
      </c>
      <c r="N181" s="19">
        <f t="shared" si="23"/>
        <v>749.394</v>
      </c>
      <c r="O181" s="505">
        <f t="shared" si="22"/>
        <v>2248.6215</v>
      </c>
      <c r="P181" s="505"/>
    </row>
    <row r="182" spans="1:16" ht="22.5" customHeight="1">
      <c r="A182" s="36">
        <v>36</v>
      </c>
      <c r="B182" s="52">
        <v>31686</v>
      </c>
      <c r="C182" s="624" t="s">
        <v>246</v>
      </c>
      <c r="D182" s="57">
        <v>2525</v>
      </c>
      <c r="E182" s="57" t="s">
        <v>145</v>
      </c>
      <c r="F182" s="615">
        <v>1650</v>
      </c>
      <c r="G182" s="654">
        <f t="shared" si="17"/>
        <v>6443.480350000002</v>
      </c>
      <c r="H182" s="19">
        <f t="shared" si="18"/>
        <v>19248.9</v>
      </c>
      <c r="I182" s="511">
        <f>Ctrl!$J$10</f>
        <v>322873</v>
      </c>
      <c r="J182" s="19"/>
      <c r="K182" s="21">
        <f t="shared" si="19"/>
        <v>9686.19</v>
      </c>
      <c r="L182" s="21">
        <f t="shared" si="20"/>
        <v>5488.841</v>
      </c>
      <c r="M182" s="21">
        <f t="shared" si="21"/>
        <v>5165.968</v>
      </c>
      <c r="N182" s="19">
        <f t="shared" si="23"/>
        <v>968.619</v>
      </c>
      <c r="O182" s="505">
        <f t="shared" si="22"/>
        <v>2473.48365</v>
      </c>
      <c r="P182" s="505"/>
    </row>
    <row r="183" spans="1:16" ht="22.5" customHeight="1">
      <c r="A183" s="36">
        <v>36</v>
      </c>
      <c r="B183" s="52">
        <v>31686</v>
      </c>
      <c r="C183" s="624" t="s">
        <v>84</v>
      </c>
      <c r="D183" s="57">
        <v>3425</v>
      </c>
      <c r="E183" s="57" t="s">
        <v>145</v>
      </c>
      <c r="F183" s="615">
        <v>1915</v>
      </c>
      <c r="G183" s="654">
        <f t="shared" si="17"/>
        <v>6216.881885000001</v>
      </c>
      <c r="H183" s="19">
        <f t="shared" si="18"/>
        <v>22340.39</v>
      </c>
      <c r="I183" s="511">
        <f>Ctrl!$J$12</f>
        <v>414149</v>
      </c>
      <c r="J183" s="19"/>
      <c r="K183" s="21">
        <f t="shared" si="19"/>
        <v>12424.47</v>
      </c>
      <c r="L183" s="21">
        <f t="shared" si="20"/>
        <v>7040.533</v>
      </c>
      <c r="M183" s="21">
        <f t="shared" si="21"/>
        <v>6626.384</v>
      </c>
      <c r="N183" s="19">
        <f t="shared" si="23"/>
        <v>1242.4470000000001</v>
      </c>
      <c r="O183" s="505">
        <f t="shared" si="22"/>
        <v>2870.740115</v>
      </c>
      <c r="P183" s="505"/>
    </row>
    <row r="184" spans="1:16" ht="22.5" customHeight="1">
      <c r="A184" s="445">
        <v>37</v>
      </c>
      <c r="B184" s="446">
        <v>31686</v>
      </c>
      <c r="C184" s="630" t="s">
        <v>31</v>
      </c>
      <c r="D184" s="447">
        <v>950</v>
      </c>
      <c r="E184" s="450" t="s">
        <v>276</v>
      </c>
      <c r="F184" s="616">
        <v>990</v>
      </c>
      <c r="G184" s="655">
        <f t="shared" si="17"/>
        <v>4562.369809999999</v>
      </c>
      <c r="H184" s="19">
        <f t="shared" si="18"/>
        <v>11549.34</v>
      </c>
      <c r="I184" s="511">
        <f>Ctrl!$J$4</f>
        <v>171965</v>
      </c>
      <c r="J184" s="19"/>
      <c r="K184" s="21">
        <f t="shared" si="19"/>
        <v>5158.95</v>
      </c>
      <c r="L184" s="21">
        <f t="shared" si="20"/>
        <v>2923.405</v>
      </c>
      <c r="M184" s="21">
        <f t="shared" si="21"/>
        <v>2751.44</v>
      </c>
      <c r="N184" s="19">
        <f t="shared" si="23"/>
        <v>515.895</v>
      </c>
      <c r="O184" s="505">
        <f t="shared" si="22"/>
        <v>1484.0901900000001</v>
      </c>
      <c r="P184" s="505"/>
    </row>
    <row r="185" spans="1:16" ht="22.5" customHeight="1">
      <c r="A185" s="445">
        <v>37</v>
      </c>
      <c r="B185" s="446">
        <v>31686</v>
      </c>
      <c r="C185" s="445" t="s">
        <v>264</v>
      </c>
      <c r="D185" s="447">
        <v>1380</v>
      </c>
      <c r="E185" s="450" t="s">
        <v>276</v>
      </c>
      <c r="F185" s="616">
        <v>1255</v>
      </c>
      <c r="G185" s="655">
        <f t="shared" si="17"/>
        <v>5753.435345</v>
      </c>
      <c r="H185" s="19">
        <f t="shared" si="18"/>
        <v>14640.83</v>
      </c>
      <c r="I185" s="511">
        <f>Ctrl!$J$6</f>
        <v>218939</v>
      </c>
      <c r="J185" s="19"/>
      <c r="K185" s="21">
        <f t="shared" si="19"/>
        <v>6568.17</v>
      </c>
      <c r="L185" s="21">
        <f t="shared" si="20"/>
        <v>3721.963</v>
      </c>
      <c r="M185" s="21">
        <f t="shared" si="21"/>
        <v>3503.024</v>
      </c>
      <c r="N185" s="19">
        <f t="shared" si="23"/>
        <v>656.817</v>
      </c>
      <c r="O185" s="505">
        <f t="shared" si="22"/>
        <v>1881.346655</v>
      </c>
      <c r="P185" s="505"/>
    </row>
    <row r="186" spans="1:16" ht="22.5" customHeight="1">
      <c r="A186" s="445">
        <v>37</v>
      </c>
      <c r="B186" s="446">
        <v>31686</v>
      </c>
      <c r="C186" s="630" t="s">
        <v>116</v>
      </c>
      <c r="D186" s="447">
        <v>1825</v>
      </c>
      <c r="E186" s="450" t="s">
        <v>276</v>
      </c>
      <c r="F186" s="616">
        <v>1525</v>
      </c>
      <c r="G186" s="616">
        <f t="shared" si="17"/>
        <v>7511.015475000003</v>
      </c>
      <c r="H186" s="19">
        <f t="shared" si="18"/>
        <v>17790.65</v>
      </c>
      <c r="I186" s="511">
        <f>Ctrl!$J$8</f>
        <v>249798</v>
      </c>
      <c r="J186" s="19"/>
      <c r="K186" s="21">
        <f t="shared" si="19"/>
        <v>7493.94</v>
      </c>
      <c r="L186" s="21">
        <f t="shared" si="20"/>
        <v>4246.566000000001</v>
      </c>
      <c r="M186" s="21">
        <f t="shared" si="21"/>
        <v>3996.768</v>
      </c>
      <c r="N186" s="19">
        <f t="shared" si="23"/>
        <v>749.394</v>
      </c>
      <c r="O186" s="505">
        <f t="shared" si="22"/>
        <v>2286.0985250000003</v>
      </c>
      <c r="P186" s="505"/>
    </row>
    <row r="187" spans="1:16" ht="22.5" customHeight="1">
      <c r="A187" s="445">
        <v>37</v>
      </c>
      <c r="B187" s="446">
        <v>31686</v>
      </c>
      <c r="C187" s="630" t="s">
        <v>246</v>
      </c>
      <c r="D187" s="447">
        <v>2525</v>
      </c>
      <c r="E187" s="450" t="s">
        <v>276</v>
      </c>
      <c r="F187" s="616">
        <v>1675</v>
      </c>
      <c r="G187" s="655">
        <f t="shared" si="17"/>
        <v>6697.653324999999</v>
      </c>
      <c r="H187" s="19">
        <f t="shared" si="18"/>
        <v>19540.55</v>
      </c>
      <c r="I187" s="511">
        <f>Ctrl!$J$10</f>
        <v>322873</v>
      </c>
      <c r="J187" s="19"/>
      <c r="K187" s="21">
        <f t="shared" si="19"/>
        <v>9686.19</v>
      </c>
      <c r="L187" s="21">
        <f t="shared" si="20"/>
        <v>5488.841</v>
      </c>
      <c r="M187" s="21">
        <f t="shared" si="21"/>
        <v>5165.968</v>
      </c>
      <c r="N187" s="19">
        <f t="shared" si="23"/>
        <v>968.619</v>
      </c>
      <c r="O187" s="505">
        <f t="shared" si="22"/>
        <v>2510.960675</v>
      </c>
      <c r="P187" s="505"/>
    </row>
    <row r="188" spans="1:16" ht="22.5" customHeight="1">
      <c r="A188" s="445">
        <v>37</v>
      </c>
      <c r="B188" s="446">
        <v>31686</v>
      </c>
      <c r="C188" s="630" t="s">
        <v>84</v>
      </c>
      <c r="D188" s="447">
        <v>3425</v>
      </c>
      <c r="E188" s="450" t="s">
        <v>276</v>
      </c>
      <c r="F188" s="616">
        <v>1940</v>
      </c>
      <c r="G188" s="655">
        <f t="shared" si="17"/>
        <v>6471.054860000002</v>
      </c>
      <c r="H188" s="19">
        <f t="shared" si="18"/>
        <v>22632.04</v>
      </c>
      <c r="I188" s="511">
        <f>Ctrl!$J$12</f>
        <v>414149</v>
      </c>
      <c r="J188" s="19"/>
      <c r="K188" s="21">
        <f t="shared" si="19"/>
        <v>12424.47</v>
      </c>
      <c r="L188" s="21">
        <f t="shared" si="20"/>
        <v>7040.533</v>
      </c>
      <c r="M188" s="21">
        <f t="shared" si="21"/>
        <v>6626.384</v>
      </c>
      <c r="N188" s="19">
        <f t="shared" si="23"/>
        <v>1242.4470000000001</v>
      </c>
      <c r="O188" s="505">
        <f t="shared" si="22"/>
        <v>2908.21714</v>
      </c>
      <c r="P188" s="505"/>
    </row>
    <row r="189" spans="1:17" ht="22.5" customHeight="1">
      <c r="A189" s="39">
        <v>38</v>
      </c>
      <c r="B189" s="51">
        <v>31686</v>
      </c>
      <c r="C189" s="633" t="s">
        <v>31</v>
      </c>
      <c r="D189" s="58">
        <v>950</v>
      </c>
      <c r="E189" s="58" t="s">
        <v>147</v>
      </c>
      <c r="F189" s="617">
        <v>1040</v>
      </c>
      <c r="G189" s="586">
        <f t="shared" si="17"/>
        <v>4952.785760000001</v>
      </c>
      <c r="H189" s="19">
        <f t="shared" si="18"/>
        <v>12132.640000000001</v>
      </c>
      <c r="I189" s="511">
        <f>Ctrl!$J$4</f>
        <v>171965</v>
      </c>
      <c r="J189" s="98"/>
      <c r="K189" s="21">
        <f t="shared" si="19"/>
        <v>5158.95</v>
      </c>
      <c r="L189" s="21">
        <f t="shared" si="20"/>
        <v>2923.405</v>
      </c>
      <c r="M189" s="21">
        <f t="shared" si="21"/>
        <v>2751.44</v>
      </c>
      <c r="N189" s="98">
        <v>633.825</v>
      </c>
      <c r="O189" s="505">
        <f t="shared" si="22"/>
        <v>1559.0442400000002</v>
      </c>
      <c r="P189" s="508"/>
      <c r="Q189" s="506"/>
    </row>
    <row r="190" spans="1:16" ht="22.5" customHeight="1">
      <c r="A190" s="39">
        <v>38</v>
      </c>
      <c r="B190" s="51">
        <v>31686</v>
      </c>
      <c r="C190" s="39" t="s">
        <v>264</v>
      </c>
      <c r="D190" s="58">
        <v>1380</v>
      </c>
      <c r="E190" s="58" t="s">
        <v>147</v>
      </c>
      <c r="F190" s="617">
        <v>1305</v>
      </c>
      <c r="G190" s="586">
        <f t="shared" si="17"/>
        <v>6261.7812950000025</v>
      </c>
      <c r="H190" s="19">
        <f t="shared" si="18"/>
        <v>15224.130000000001</v>
      </c>
      <c r="I190" s="511">
        <f>Ctrl!$J$6</f>
        <v>218939</v>
      </c>
      <c r="J190" s="19"/>
      <c r="K190" s="21">
        <f t="shared" si="19"/>
        <v>6568.17</v>
      </c>
      <c r="L190" s="21">
        <f t="shared" si="20"/>
        <v>3721.963</v>
      </c>
      <c r="M190" s="21">
        <f t="shared" si="21"/>
        <v>3503.024</v>
      </c>
      <c r="N190" s="19">
        <f>$N$2*I190</f>
        <v>656.817</v>
      </c>
      <c r="O190" s="505">
        <f t="shared" si="22"/>
        <v>1956.300705</v>
      </c>
      <c r="P190" s="505"/>
    </row>
    <row r="191" spans="1:16" ht="22.5" customHeight="1">
      <c r="A191" s="39">
        <v>38</v>
      </c>
      <c r="B191" s="51">
        <v>31686</v>
      </c>
      <c r="C191" s="633" t="s">
        <v>116</v>
      </c>
      <c r="D191" s="58">
        <v>1825</v>
      </c>
      <c r="E191" s="58" t="s">
        <v>147</v>
      </c>
      <c r="F191" s="617">
        <v>1575</v>
      </c>
      <c r="G191" s="617">
        <f t="shared" si="17"/>
        <v>8019.361425000003</v>
      </c>
      <c r="H191" s="19">
        <f t="shared" si="18"/>
        <v>18373.95</v>
      </c>
      <c r="I191" s="511">
        <f>Ctrl!$J$8</f>
        <v>249798</v>
      </c>
      <c r="J191" s="19"/>
      <c r="K191" s="21">
        <f t="shared" si="19"/>
        <v>7493.94</v>
      </c>
      <c r="L191" s="21">
        <f t="shared" si="20"/>
        <v>4246.566000000001</v>
      </c>
      <c r="M191" s="21">
        <f t="shared" si="21"/>
        <v>3996.768</v>
      </c>
      <c r="N191" s="19">
        <f>$N$2*I191</f>
        <v>749.394</v>
      </c>
      <c r="O191" s="505">
        <f t="shared" si="22"/>
        <v>2361.052575</v>
      </c>
      <c r="P191" s="505"/>
    </row>
    <row r="192" spans="1:16" ht="22.5" customHeight="1">
      <c r="A192" s="39">
        <v>38</v>
      </c>
      <c r="B192" s="51">
        <v>31686</v>
      </c>
      <c r="C192" s="633" t="s">
        <v>246</v>
      </c>
      <c r="D192" s="58">
        <v>2525</v>
      </c>
      <c r="E192" s="58" t="s">
        <v>147</v>
      </c>
      <c r="F192" s="617">
        <v>1725</v>
      </c>
      <c r="G192" s="586">
        <f t="shared" si="17"/>
        <v>7205.999275000002</v>
      </c>
      <c r="H192" s="19">
        <f t="shared" si="18"/>
        <v>20123.850000000002</v>
      </c>
      <c r="I192" s="511">
        <f>Ctrl!$J$10</f>
        <v>322873</v>
      </c>
      <c r="J192" s="19"/>
      <c r="K192" s="21">
        <f t="shared" si="19"/>
        <v>9686.19</v>
      </c>
      <c r="L192" s="21">
        <f t="shared" si="20"/>
        <v>5488.841</v>
      </c>
      <c r="M192" s="21">
        <f t="shared" si="21"/>
        <v>5165.968</v>
      </c>
      <c r="N192" s="19">
        <f>$N$2*I192</f>
        <v>968.619</v>
      </c>
      <c r="O192" s="505">
        <f t="shared" si="22"/>
        <v>2585.9147250000005</v>
      </c>
      <c r="P192" s="505"/>
    </row>
    <row r="193" spans="1:16" ht="22.5" customHeight="1">
      <c r="A193" s="39">
        <v>38</v>
      </c>
      <c r="B193" s="51">
        <v>31686</v>
      </c>
      <c r="C193" s="633" t="s">
        <v>84</v>
      </c>
      <c r="D193" s="58">
        <v>3425</v>
      </c>
      <c r="E193" s="58" t="s">
        <v>147</v>
      </c>
      <c r="F193" s="617">
        <v>1990</v>
      </c>
      <c r="G193" s="586">
        <f t="shared" si="17"/>
        <v>6979.400810000002</v>
      </c>
      <c r="H193" s="19">
        <f t="shared" si="18"/>
        <v>23215.34</v>
      </c>
      <c r="I193" s="511">
        <f>Ctrl!$J$12</f>
        <v>414149</v>
      </c>
      <c r="J193" s="19"/>
      <c r="K193" s="21">
        <f t="shared" si="19"/>
        <v>12424.47</v>
      </c>
      <c r="L193" s="21">
        <f t="shared" si="20"/>
        <v>7040.533</v>
      </c>
      <c r="M193" s="21">
        <f t="shared" si="21"/>
        <v>6626.384</v>
      </c>
      <c r="N193" s="19">
        <f>$N$2*I193</f>
        <v>1242.4470000000001</v>
      </c>
      <c r="O193" s="505">
        <f t="shared" si="22"/>
        <v>2983.17119</v>
      </c>
      <c r="P193" s="505"/>
    </row>
    <row r="194" spans="1:17" ht="22.5" customHeight="1">
      <c r="A194" s="49">
        <v>39</v>
      </c>
      <c r="B194" s="37">
        <v>31686</v>
      </c>
      <c r="C194" s="631" t="s">
        <v>238</v>
      </c>
      <c r="D194" s="576">
        <v>950</v>
      </c>
      <c r="E194" s="576" t="s">
        <v>146</v>
      </c>
      <c r="F194" s="618">
        <v>1065</v>
      </c>
      <c r="G194" s="656">
        <f t="shared" si="17"/>
        <v>5356.958735</v>
      </c>
      <c r="H194" s="19">
        <f t="shared" si="18"/>
        <v>12424.29</v>
      </c>
      <c r="I194" s="511">
        <f>Ctrl!$J$4</f>
        <v>171965</v>
      </c>
      <c r="J194" s="98"/>
      <c r="K194" s="21">
        <f t="shared" si="19"/>
        <v>5158.95</v>
      </c>
      <c r="L194" s="21">
        <f t="shared" si="20"/>
        <v>2923.405</v>
      </c>
      <c r="M194" s="21">
        <f t="shared" si="21"/>
        <v>2751.44</v>
      </c>
      <c r="N194" s="98">
        <v>483.825</v>
      </c>
      <c r="O194" s="505">
        <f t="shared" si="22"/>
        <v>1596.521265</v>
      </c>
      <c r="P194" s="508"/>
      <c r="Q194" s="506"/>
    </row>
    <row r="195" spans="1:16" ht="22.5" customHeight="1">
      <c r="A195" s="49">
        <v>39</v>
      </c>
      <c r="B195" s="37">
        <v>31686</v>
      </c>
      <c r="C195" s="22" t="s">
        <v>264</v>
      </c>
      <c r="D195" s="644">
        <v>1380</v>
      </c>
      <c r="E195" s="576" t="s">
        <v>146</v>
      </c>
      <c r="F195" s="618">
        <v>1330</v>
      </c>
      <c r="G195" s="656">
        <f t="shared" si="17"/>
        <v>6515.95427</v>
      </c>
      <c r="H195" s="19">
        <f t="shared" si="18"/>
        <v>15515.78</v>
      </c>
      <c r="I195" s="511">
        <f>Ctrl!$J$6</f>
        <v>218939</v>
      </c>
      <c r="J195" s="19"/>
      <c r="K195" s="21">
        <f t="shared" si="19"/>
        <v>6568.17</v>
      </c>
      <c r="L195" s="21">
        <f t="shared" si="20"/>
        <v>3721.963</v>
      </c>
      <c r="M195" s="21">
        <f t="shared" si="21"/>
        <v>3503.024</v>
      </c>
      <c r="N195" s="19">
        <f>$N$2*I195</f>
        <v>656.817</v>
      </c>
      <c r="O195" s="505">
        <f t="shared" si="22"/>
        <v>1993.77773</v>
      </c>
      <c r="P195" s="505"/>
    </row>
    <row r="196" spans="1:16" ht="22.5" customHeight="1">
      <c r="A196" s="49">
        <v>39</v>
      </c>
      <c r="B196" s="53">
        <v>31686</v>
      </c>
      <c r="C196" s="627" t="s">
        <v>116</v>
      </c>
      <c r="D196" s="59">
        <v>1825</v>
      </c>
      <c r="E196" s="576" t="s">
        <v>146</v>
      </c>
      <c r="F196" s="618">
        <v>1600</v>
      </c>
      <c r="G196" s="81">
        <f aca="true" t="shared" si="24" ref="G196:G223">H196-K196+L196-M196-N196-O196</f>
        <v>8273.534400000004</v>
      </c>
      <c r="H196" s="19">
        <f aca="true" t="shared" si="25" ref="H196:H223">F196*$H$2</f>
        <v>18665.600000000002</v>
      </c>
      <c r="I196" s="511">
        <f>Ctrl!$J$8</f>
        <v>249798</v>
      </c>
      <c r="J196" s="19"/>
      <c r="K196" s="21">
        <f aca="true" t="shared" si="26" ref="K196:K223">$K$2*I196</f>
        <v>7493.94</v>
      </c>
      <c r="L196" s="21">
        <f aca="true" t="shared" si="27" ref="L196:L223">$L$2*I196</f>
        <v>4246.566000000001</v>
      </c>
      <c r="M196" s="21">
        <f aca="true" t="shared" si="28" ref="M196:M223">$M$2*I196</f>
        <v>3996.768</v>
      </c>
      <c r="N196" s="19">
        <f>$N$2*I196</f>
        <v>749.394</v>
      </c>
      <c r="O196" s="505">
        <f aca="true" t="shared" si="29" ref="O196:O223">$O$2*H196</f>
        <v>2398.5296000000003</v>
      </c>
      <c r="P196" s="505"/>
    </row>
    <row r="197" spans="1:16" ht="22.5" customHeight="1">
      <c r="A197" s="49">
        <v>39</v>
      </c>
      <c r="B197" s="53">
        <v>31686</v>
      </c>
      <c r="C197" s="627" t="s">
        <v>246</v>
      </c>
      <c r="D197" s="59">
        <v>2525</v>
      </c>
      <c r="E197" s="576" t="s">
        <v>146</v>
      </c>
      <c r="F197" s="618">
        <v>1750</v>
      </c>
      <c r="G197" s="656">
        <f t="shared" si="24"/>
        <v>7460.17225</v>
      </c>
      <c r="H197" s="19">
        <f t="shared" si="25"/>
        <v>20415.5</v>
      </c>
      <c r="I197" s="511">
        <f>Ctrl!$J$10</f>
        <v>322873</v>
      </c>
      <c r="J197" s="19"/>
      <c r="K197" s="21">
        <f t="shared" si="26"/>
        <v>9686.19</v>
      </c>
      <c r="L197" s="21">
        <f t="shared" si="27"/>
        <v>5488.841</v>
      </c>
      <c r="M197" s="21">
        <f t="shared" si="28"/>
        <v>5165.968</v>
      </c>
      <c r="N197" s="19">
        <f>$N$2*I197</f>
        <v>968.619</v>
      </c>
      <c r="O197" s="505">
        <f t="shared" si="29"/>
        <v>2623.3917500000002</v>
      </c>
      <c r="P197" s="505"/>
    </row>
    <row r="198" spans="1:16" ht="22.5" customHeight="1">
      <c r="A198" s="25">
        <v>39</v>
      </c>
      <c r="B198" s="53">
        <v>31686</v>
      </c>
      <c r="C198" s="627" t="s">
        <v>347</v>
      </c>
      <c r="D198" s="59">
        <v>3425</v>
      </c>
      <c r="E198" s="59" t="s">
        <v>146</v>
      </c>
      <c r="F198" s="618">
        <v>2015</v>
      </c>
      <c r="G198" s="656">
        <f t="shared" si="24"/>
        <v>7233.573785000003</v>
      </c>
      <c r="H198" s="19">
        <f t="shared" si="25"/>
        <v>23506.99</v>
      </c>
      <c r="I198" s="511">
        <f>Ctrl!$J$12</f>
        <v>414149</v>
      </c>
      <c r="J198" s="19"/>
      <c r="K198" s="21">
        <f t="shared" si="26"/>
        <v>12424.47</v>
      </c>
      <c r="L198" s="21">
        <f t="shared" si="27"/>
        <v>7040.533</v>
      </c>
      <c r="M198" s="21">
        <f t="shared" si="28"/>
        <v>6626.384</v>
      </c>
      <c r="N198" s="19">
        <f>$N$2*I198</f>
        <v>1242.4470000000001</v>
      </c>
      <c r="O198" s="505">
        <f t="shared" si="29"/>
        <v>3020.648215</v>
      </c>
      <c r="P198" s="505"/>
    </row>
    <row r="199" spans="1:17" ht="22.5" customHeight="1">
      <c r="A199" s="70">
        <v>40</v>
      </c>
      <c r="B199" s="71">
        <v>53328</v>
      </c>
      <c r="C199" s="620" t="s">
        <v>238</v>
      </c>
      <c r="D199" s="574">
        <v>950</v>
      </c>
      <c r="E199" s="574" t="s">
        <v>37</v>
      </c>
      <c r="F199" s="80">
        <v>1015</v>
      </c>
      <c r="G199" s="663">
        <f t="shared" si="24"/>
        <v>4848.612784999999</v>
      </c>
      <c r="H199" s="19">
        <f t="shared" si="25"/>
        <v>11840.99</v>
      </c>
      <c r="I199" s="511">
        <f>Ctrl!$J$4</f>
        <v>171965</v>
      </c>
      <c r="J199" s="98"/>
      <c r="K199" s="21">
        <f t="shared" si="26"/>
        <v>5158.95</v>
      </c>
      <c r="L199" s="21">
        <f t="shared" si="27"/>
        <v>2923.405</v>
      </c>
      <c r="M199" s="21">
        <f t="shared" si="28"/>
        <v>2751.44</v>
      </c>
      <c r="N199" s="98">
        <v>483.825</v>
      </c>
      <c r="O199" s="505">
        <f t="shared" si="29"/>
        <v>1521.567215</v>
      </c>
      <c r="P199" s="508"/>
      <c r="Q199" s="506"/>
    </row>
    <row r="200" spans="1:16" ht="22.5" customHeight="1">
      <c r="A200" s="70">
        <v>40</v>
      </c>
      <c r="B200" s="71">
        <v>53328</v>
      </c>
      <c r="C200" s="70" t="s">
        <v>264</v>
      </c>
      <c r="D200" s="574">
        <v>1380</v>
      </c>
      <c r="E200" s="574" t="s">
        <v>37</v>
      </c>
      <c r="F200" s="80">
        <v>1280</v>
      </c>
      <c r="G200" s="663">
        <f t="shared" si="24"/>
        <v>6007.608319999999</v>
      </c>
      <c r="H200" s="19">
        <f t="shared" si="25"/>
        <v>14932.48</v>
      </c>
      <c r="I200" s="511">
        <f>Ctrl!$J$6</f>
        <v>218939</v>
      </c>
      <c r="J200" s="19"/>
      <c r="K200" s="21">
        <f t="shared" si="26"/>
        <v>6568.17</v>
      </c>
      <c r="L200" s="21">
        <f t="shared" si="27"/>
        <v>3721.963</v>
      </c>
      <c r="M200" s="21">
        <f t="shared" si="28"/>
        <v>3503.024</v>
      </c>
      <c r="N200" s="19">
        <f>$N$2*I200</f>
        <v>656.817</v>
      </c>
      <c r="O200" s="505">
        <f t="shared" si="29"/>
        <v>1918.82368</v>
      </c>
      <c r="P200" s="505"/>
    </row>
    <row r="201" spans="1:16" ht="22.5" customHeight="1">
      <c r="A201" s="70">
        <v>40</v>
      </c>
      <c r="B201" s="71">
        <v>53328</v>
      </c>
      <c r="C201" s="620" t="s">
        <v>116</v>
      </c>
      <c r="D201" s="574">
        <v>1825</v>
      </c>
      <c r="E201" s="574" t="s">
        <v>37</v>
      </c>
      <c r="F201" s="80">
        <v>1550</v>
      </c>
      <c r="G201" s="80">
        <f t="shared" si="24"/>
        <v>7765.1884500000015</v>
      </c>
      <c r="H201" s="19">
        <f t="shared" si="25"/>
        <v>18082.3</v>
      </c>
      <c r="I201" s="511">
        <f>Ctrl!$J$8</f>
        <v>249798</v>
      </c>
      <c r="J201" s="19"/>
      <c r="K201" s="21">
        <f t="shared" si="26"/>
        <v>7493.94</v>
      </c>
      <c r="L201" s="21">
        <f t="shared" si="27"/>
        <v>4246.566000000001</v>
      </c>
      <c r="M201" s="21">
        <f t="shared" si="28"/>
        <v>3996.768</v>
      </c>
      <c r="N201" s="19">
        <f>$N$2*I201</f>
        <v>749.394</v>
      </c>
      <c r="O201" s="505">
        <f t="shared" si="29"/>
        <v>2323.57555</v>
      </c>
      <c r="P201" s="505"/>
    </row>
    <row r="202" spans="1:16" ht="22.5" customHeight="1">
      <c r="A202" s="70">
        <v>40</v>
      </c>
      <c r="B202" s="71">
        <v>53328</v>
      </c>
      <c r="C202" s="620" t="s">
        <v>246</v>
      </c>
      <c r="D202" s="574">
        <v>2525</v>
      </c>
      <c r="E202" s="574" t="s">
        <v>37</v>
      </c>
      <c r="F202" s="80">
        <v>1700</v>
      </c>
      <c r="G202" s="663">
        <f t="shared" si="24"/>
        <v>6951.826300000001</v>
      </c>
      <c r="H202" s="19">
        <f t="shared" si="25"/>
        <v>19832.2</v>
      </c>
      <c r="I202" s="511">
        <f>Ctrl!$J$10</f>
        <v>322873</v>
      </c>
      <c r="J202" s="19"/>
      <c r="K202" s="21">
        <f t="shared" si="26"/>
        <v>9686.19</v>
      </c>
      <c r="L202" s="21">
        <f t="shared" si="27"/>
        <v>5488.841</v>
      </c>
      <c r="M202" s="21">
        <f t="shared" si="28"/>
        <v>5165.968</v>
      </c>
      <c r="N202" s="19">
        <f>$N$2*I202</f>
        <v>968.619</v>
      </c>
      <c r="O202" s="505">
        <f t="shared" si="29"/>
        <v>2548.4377</v>
      </c>
      <c r="P202" s="505"/>
    </row>
    <row r="203" spans="1:16" ht="22.5" customHeight="1">
      <c r="A203" s="70">
        <v>40</v>
      </c>
      <c r="B203" s="71">
        <v>53328</v>
      </c>
      <c r="C203" s="620" t="s">
        <v>84</v>
      </c>
      <c r="D203" s="574">
        <v>3425</v>
      </c>
      <c r="E203" s="574" t="s">
        <v>37</v>
      </c>
      <c r="F203" s="80">
        <v>1965</v>
      </c>
      <c r="G203" s="663">
        <f t="shared" si="24"/>
        <v>6725.227835000003</v>
      </c>
      <c r="H203" s="19">
        <f t="shared" si="25"/>
        <v>22923.690000000002</v>
      </c>
      <c r="I203" s="511">
        <f>Ctrl!$J$12</f>
        <v>414149</v>
      </c>
      <c r="J203" s="19"/>
      <c r="K203" s="21">
        <f t="shared" si="26"/>
        <v>12424.47</v>
      </c>
      <c r="L203" s="21">
        <f t="shared" si="27"/>
        <v>7040.533</v>
      </c>
      <c r="M203" s="21">
        <f t="shared" si="28"/>
        <v>6626.384</v>
      </c>
      <c r="N203" s="19">
        <f>$N$2*I203</f>
        <v>1242.4470000000001</v>
      </c>
      <c r="O203" s="505">
        <f t="shared" si="29"/>
        <v>2945.6941650000003</v>
      </c>
      <c r="P203" s="505"/>
    </row>
    <row r="204" spans="1:17" ht="22.5" customHeight="1">
      <c r="A204" s="48">
        <v>41</v>
      </c>
      <c r="B204" s="55">
        <v>53328</v>
      </c>
      <c r="C204" s="624" t="s">
        <v>31</v>
      </c>
      <c r="D204" s="575">
        <v>950</v>
      </c>
      <c r="E204" s="57" t="s">
        <v>418</v>
      </c>
      <c r="F204" s="77">
        <v>965</v>
      </c>
      <c r="G204" s="654">
        <f t="shared" si="24"/>
        <v>4190.266835</v>
      </c>
      <c r="H204" s="19">
        <f t="shared" si="25"/>
        <v>11257.69</v>
      </c>
      <c r="I204" s="511">
        <f>Ctrl!$J$4</f>
        <v>171965</v>
      </c>
      <c r="J204" s="98"/>
      <c r="K204" s="21">
        <f t="shared" si="26"/>
        <v>5158.95</v>
      </c>
      <c r="L204" s="21">
        <f t="shared" si="27"/>
        <v>2923.405</v>
      </c>
      <c r="M204" s="21">
        <f t="shared" si="28"/>
        <v>2751.44</v>
      </c>
      <c r="N204" s="98">
        <v>633.825</v>
      </c>
      <c r="O204" s="505">
        <f t="shared" si="29"/>
        <v>1446.6131650000002</v>
      </c>
      <c r="P204" s="508"/>
      <c r="Q204" s="506"/>
    </row>
    <row r="205" spans="1:16" ht="22.5" customHeight="1">
      <c r="A205" s="48">
        <v>41</v>
      </c>
      <c r="B205" s="55">
        <v>53328</v>
      </c>
      <c r="C205" s="36" t="s">
        <v>264</v>
      </c>
      <c r="D205" s="57">
        <v>1380</v>
      </c>
      <c r="E205" s="57" t="s">
        <v>418</v>
      </c>
      <c r="F205" s="77">
        <v>1230</v>
      </c>
      <c r="G205" s="654">
        <f t="shared" si="24"/>
        <v>5499.26237</v>
      </c>
      <c r="H205" s="19">
        <f t="shared" si="25"/>
        <v>14349.18</v>
      </c>
      <c r="I205" s="511">
        <f>Ctrl!$J$6</f>
        <v>218939</v>
      </c>
      <c r="J205" s="19"/>
      <c r="K205" s="21">
        <f t="shared" si="26"/>
        <v>6568.17</v>
      </c>
      <c r="L205" s="21">
        <f t="shared" si="27"/>
        <v>3721.963</v>
      </c>
      <c r="M205" s="21">
        <f t="shared" si="28"/>
        <v>3503.024</v>
      </c>
      <c r="N205" s="19">
        <f>$N$2*I205</f>
        <v>656.817</v>
      </c>
      <c r="O205" s="505">
        <f t="shared" si="29"/>
        <v>1843.8696300000001</v>
      </c>
      <c r="P205" s="505"/>
    </row>
    <row r="206" spans="1:16" ht="22.5" customHeight="1">
      <c r="A206" s="48">
        <v>41</v>
      </c>
      <c r="B206" s="52">
        <v>53328</v>
      </c>
      <c r="C206" s="624" t="s">
        <v>116</v>
      </c>
      <c r="D206" s="57">
        <v>1825</v>
      </c>
      <c r="E206" s="57" t="s">
        <v>418</v>
      </c>
      <c r="F206" s="77">
        <v>1500</v>
      </c>
      <c r="G206" s="77">
        <f t="shared" si="24"/>
        <v>7256.842500000002</v>
      </c>
      <c r="H206" s="19">
        <f t="shared" si="25"/>
        <v>17499</v>
      </c>
      <c r="I206" s="511">
        <f>Ctrl!$J$8</f>
        <v>249798</v>
      </c>
      <c r="J206" s="19"/>
      <c r="K206" s="21">
        <f t="shared" si="26"/>
        <v>7493.94</v>
      </c>
      <c r="L206" s="21">
        <f t="shared" si="27"/>
        <v>4246.566000000001</v>
      </c>
      <c r="M206" s="21">
        <f t="shared" si="28"/>
        <v>3996.768</v>
      </c>
      <c r="N206" s="19">
        <f>$N$2*I206</f>
        <v>749.394</v>
      </c>
      <c r="O206" s="505">
        <f t="shared" si="29"/>
        <v>2248.6215</v>
      </c>
      <c r="P206" s="505"/>
    </row>
    <row r="207" spans="1:16" ht="22.5" customHeight="1">
      <c r="A207" s="48">
        <v>41</v>
      </c>
      <c r="B207" s="52">
        <v>53328</v>
      </c>
      <c r="C207" s="624" t="s">
        <v>246</v>
      </c>
      <c r="D207" s="57">
        <v>2525</v>
      </c>
      <c r="E207" s="57" t="s">
        <v>418</v>
      </c>
      <c r="F207" s="77">
        <v>1650</v>
      </c>
      <c r="G207" s="654">
        <f t="shared" si="24"/>
        <v>6443.480350000002</v>
      </c>
      <c r="H207" s="19">
        <f t="shared" si="25"/>
        <v>19248.9</v>
      </c>
      <c r="I207" s="511">
        <f>Ctrl!$J$10</f>
        <v>322873</v>
      </c>
      <c r="J207" s="19"/>
      <c r="K207" s="21">
        <f t="shared" si="26"/>
        <v>9686.19</v>
      </c>
      <c r="L207" s="21">
        <f t="shared" si="27"/>
        <v>5488.841</v>
      </c>
      <c r="M207" s="21">
        <f t="shared" si="28"/>
        <v>5165.968</v>
      </c>
      <c r="N207" s="19">
        <f>$N$2*I207</f>
        <v>968.619</v>
      </c>
      <c r="O207" s="505">
        <f t="shared" si="29"/>
        <v>2473.48365</v>
      </c>
      <c r="P207" s="505"/>
    </row>
    <row r="208" spans="1:16" ht="22.5" customHeight="1">
      <c r="A208" s="36">
        <v>41</v>
      </c>
      <c r="B208" s="52">
        <v>53328</v>
      </c>
      <c r="C208" s="624" t="s">
        <v>84</v>
      </c>
      <c r="D208" s="57">
        <v>3425</v>
      </c>
      <c r="E208" s="575" t="s">
        <v>418</v>
      </c>
      <c r="F208" s="77">
        <v>1915</v>
      </c>
      <c r="G208" s="654">
        <f t="shared" si="24"/>
        <v>6216.881885000001</v>
      </c>
      <c r="H208" s="19">
        <f t="shared" si="25"/>
        <v>22340.39</v>
      </c>
      <c r="I208" s="511">
        <f>Ctrl!$J$12</f>
        <v>414149</v>
      </c>
      <c r="J208" s="19"/>
      <c r="K208" s="21">
        <f t="shared" si="26"/>
        <v>12424.47</v>
      </c>
      <c r="L208" s="21">
        <f t="shared" si="27"/>
        <v>7040.533</v>
      </c>
      <c r="M208" s="21">
        <f t="shared" si="28"/>
        <v>6626.384</v>
      </c>
      <c r="N208" s="19">
        <f>$N$2*I208</f>
        <v>1242.4470000000001</v>
      </c>
      <c r="O208" s="505">
        <f t="shared" si="29"/>
        <v>2870.740115</v>
      </c>
      <c r="P208" s="505"/>
    </row>
    <row r="209" spans="1:17" ht="22.5" customHeight="1">
      <c r="A209" s="445">
        <v>42</v>
      </c>
      <c r="B209" s="446">
        <v>53328</v>
      </c>
      <c r="C209" s="630" t="s">
        <v>31</v>
      </c>
      <c r="D209" s="447">
        <v>950</v>
      </c>
      <c r="E209" s="448" t="s">
        <v>236</v>
      </c>
      <c r="F209" s="449">
        <v>990</v>
      </c>
      <c r="G209" s="655">
        <f t="shared" si="24"/>
        <v>4444.43981</v>
      </c>
      <c r="H209" s="19">
        <f t="shared" si="25"/>
        <v>11549.34</v>
      </c>
      <c r="I209" s="511">
        <f>Ctrl!$J$4</f>
        <v>171965</v>
      </c>
      <c r="J209" s="98"/>
      <c r="K209" s="21">
        <f t="shared" si="26"/>
        <v>5158.95</v>
      </c>
      <c r="L209" s="21">
        <f t="shared" si="27"/>
        <v>2923.405</v>
      </c>
      <c r="M209" s="21">
        <f t="shared" si="28"/>
        <v>2751.44</v>
      </c>
      <c r="N209" s="98">
        <v>633.825</v>
      </c>
      <c r="O209" s="505">
        <f t="shared" si="29"/>
        <v>1484.0901900000001</v>
      </c>
      <c r="P209" s="508"/>
      <c r="Q209" s="506"/>
    </row>
    <row r="210" spans="1:16" ht="22.5" customHeight="1">
      <c r="A210" s="445">
        <v>42</v>
      </c>
      <c r="B210" s="446">
        <v>53328</v>
      </c>
      <c r="C210" s="445" t="s">
        <v>264</v>
      </c>
      <c r="D210" s="447">
        <v>1380</v>
      </c>
      <c r="E210" s="448" t="s">
        <v>236</v>
      </c>
      <c r="F210" s="449">
        <v>1255</v>
      </c>
      <c r="G210" s="655">
        <f t="shared" si="24"/>
        <v>5753.435345</v>
      </c>
      <c r="H210" s="19">
        <f t="shared" si="25"/>
        <v>14640.83</v>
      </c>
      <c r="I210" s="511">
        <f>Ctrl!$J$6</f>
        <v>218939</v>
      </c>
      <c r="J210" s="19"/>
      <c r="K210" s="21">
        <f t="shared" si="26"/>
        <v>6568.17</v>
      </c>
      <c r="L210" s="21">
        <f t="shared" si="27"/>
        <v>3721.963</v>
      </c>
      <c r="M210" s="21">
        <f t="shared" si="28"/>
        <v>3503.024</v>
      </c>
      <c r="N210" s="19">
        <f>$N$2*I210</f>
        <v>656.817</v>
      </c>
      <c r="O210" s="505">
        <f t="shared" si="29"/>
        <v>1881.346655</v>
      </c>
      <c r="P210" s="505"/>
    </row>
    <row r="211" spans="1:16" ht="22.5" customHeight="1">
      <c r="A211" s="445">
        <v>42</v>
      </c>
      <c r="B211" s="446">
        <v>53328</v>
      </c>
      <c r="C211" s="630" t="s">
        <v>116</v>
      </c>
      <c r="D211" s="447">
        <v>1825</v>
      </c>
      <c r="E211" s="448" t="s">
        <v>236</v>
      </c>
      <c r="F211" s="449">
        <v>1525</v>
      </c>
      <c r="G211" s="616">
        <f t="shared" si="24"/>
        <v>7511.015475000003</v>
      </c>
      <c r="H211" s="19">
        <f t="shared" si="25"/>
        <v>17790.65</v>
      </c>
      <c r="I211" s="511">
        <f>Ctrl!$J$8</f>
        <v>249798</v>
      </c>
      <c r="J211" s="19"/>
      <c r="K211" s="21">
        <f t="shared" si="26"/>
        <v>7493.94</v>
      </c>
      <c r="L211" s="21">
        <f t="shared" si="27"/>
        <v>4246.566000000001</v>
      </c>
      <c r="M211" s="21">
        <f t="shared" si="28"/>
        <v>3996.768</v>
      </c>
      <c r="N211" s="19">
        <f>$N$2*I211</f>
        <v>749.394</v>
      </c>
      <c r="O211" s="505">
        <f t="shared" si="29"/>
        <v>2286.0985250000003</v>
      </c>
      <c r="P211" s="505"/>
    </row>
    <row r="212" spans="1:16" ht="22.5" customHeight="1">
      <c r="A212" s="445">
        <v>42</v>
      </c>
      <c r="B212" s="446">
        <v>53328</v>
      </c>
      <c r="C212" s="630" t="s">
        <v>246</v>
      </c>
      <c r="D212" s="447">
        <v>2525</v>
      </c>
      <c r="E212" s="448" t="s">
        <v>236</v>
      </c>
      <c r="F212" s="449">
        <v>1675</v>
      </c>
      <c r="G212" s="655">
        <f t="shared" si="24"/>
        <v>6697.653324999999</v>
      </c>
      <c r="H212" s="19">
        <f t="shared" si="25"/>
        <v>19540.55</v>
      </c>
      <c r="I212" s="511">
        <f>Ctrl!$J$10</f>
        <v>322873</v>
      </c>
      <c r="J212" s="19"/>
      <c r="K212" s="21">
        <f t="shared" si="26"/>
        <v>9686.19</v>
      </c>
      <c r="L212" s="21">
        <f t="shared" si="27"/>
        <v>5488.841</v>
      </c>
      <c r="M212" s="21">
        <f t="shared" si="28"/>
        <v>5165.968</v>
      </c>
      <c r="N212" s="19">
        <f>$N$2*I212</f>
        <v>968.619</v>
      </c>
      <c r="O212" s="505">
        <f t="shared" si="29"/>
        <v>2510.960675</v>
      </c>
      <c r="P212" s="505"/>
    </row>
    <row r="213" spans="1:16" ht="22.5" customHeight="1">
      <c r="A213" s="445">
        <v>42</v>
      </c>
      <c r="B213" s="446">
        <v>53328</v>
      </c>
      <c r="C213" s="630" t="s">
        <v>84</v>
      </c>
      <c r="D213" s="447">
        <v>3425</v>
      </c>
      <c r="E213" s="448" t="s">
        <v>236</v>
      </c>
      <c r="F213" s="449">
        <v>1940</v>
      </c>
      <c r="G213" s="655">
        <f t="shared" si="24"/>
        <v>6471.054860000002</v>
      </c>
      <c r="H213" s="19">
        <f t="shared" si="25"/>
        <v>22632.04</v>
      </c>
      <c r="I213" s="511">
        <f>Ctrl!$J$12</f>
        <v>414149</v>
      </c>
      <c r="J213" s="19"/>
      <c r="K213" s="21">
        <f t="shared" si="26"/>
        <v>12424.47</v>
      </c>
      <c r="L213" s="21">
        <f t="shared" si="27"/>
        <v>7040.533</v>
      </c>
      <c r="M213" s="21">
        <f t="shared" si="28"/>
        <v>6626.384</v>
      </c>
      <c r="N213" s="19">
        <f>$N$2*I213</f>
        <v>1242.4470000000001</v>
      </c>
      <c r="O213" s="505">
        <f t="shared" si="29"/>
        <v>2908.21714</v>
      </c>
      <c r="P213" s="505"/>
    </row>
    <row r="214" spans="1:17" ht="22.5" customHeight="1">
      <c r="A214" s="39">
        <v>43</v>
      </c>
      <c r="B214" s="51">
        <v>53328</v>
      </c>
      <c r="C214" s="633" t="s">
        <v>31</v>
      </c>
      <c r="D214" s="58">
        <v>950</v>
      </c>
      <c r="E214" s="58" t="s">
        <v>147</v>
      </c>
      <c r="F214" s="99">
        <v>1040</v>
      </c>
      <c r="G214" s="586">
        <f t="shared" si="24"/>
        <v>5102.785760000001</v>
      </c>
      <c r="H214" s="19">
        <f t="shared" si="25"/>
        <v>12132.640000000001</v>
      </c>
      <c r="I214" s="511">
        <f>Ctrl!$J$4</f>
        <v>171965</v>
      </c>
      <c r="J214" s="98"/>
      <c r="K214" s="21">
        <f t="shared" si="26"/>
        <v>5158.95</v>
      </c>
      <c r="L214" s="21">
        <f t="shared" si="27"/>
        <v>2923.405</v>
      </c>
      <c r="M214" s="21">
        <f t="shared" si="28"/>
        <v>2751.44</v>
      </c>
      <c r="N214" s="98">
        <v>483.825</v>
      </c>
      <c r="O214" s="505">
        <f t="shared" si="29"/>
        <v>1559.0442400000002</v>
      </c>
      <c r="P214" s="508"/>
      <c r="Q214" s="506"/>
    </row>
    <row r="215" spans="1:16" ht="22.5" customHeight="1">
      <c r="A215" s="39">
        <v>43</v>
      </c>
      <c r="B215" s="51">
        <v>53328</v>
      </c>
      <c r="C215" s="39" t="s">
        <v>264</v>
      </c>
      <c r="D215" s="58">
        <v>1380</v>
      </c>
      <c r="E215" s="58" t="s">
        <v>147</v>
      </c>
      <c r="F215" s="99">
        <v>1305</v>
      </c>
      <c r="G215" s="586">
        <f t="shared" si="24"/>
        <v>6261.7812950000025</v>
      </c>
      <c r="H215" s="19">
        <f t="shared" si="25"/>
        <v>15224.130000000001</v>
      </c>
      <c r="I215" s="511">
        <f>Ctrl!$J$6</f>
        <v>218939</v>
      </c>
      <c r="J215" s="19"/>
      <c r="K215" s="21">
        <f t="shared" si="26"/>
        <v>6568.17</v>
      </c>
      <c r="L215" s="21">
        <f t="shared" si="27"/>
        <v>3721.963</v>
      </c>
      <c r="M215" s="21">
        <f t="shared" si="28"/>
        <v>3503.024</v>
      </c>
      <c r="N215" s="19">
        <f>$N$2*I215</f>
        <v>656.817</v>
      </c>
      <c r="O215" s="505">
        <f t="shared" si="29"/>
        <v>1956.300705</v>
      </c>
      <c r="P215" s="505"/>
    </row>
    <row r="216" spans="1:16" ht="22.5" customHeight="1">
      <c r="A216" s="39">
        <v>43</v>
      </c>
      <c r="B216" s="51">
        <v>53328</v>
      </c>
      <c r="C216" s="633" t="s">
        <v>116</v>
      </c>
      <c r="D216" s="58">
        <v>1825</v>
      </c>
      <c r="E216" s="58" t="s">
        <v>147</v>
      </c>
      <c r="F216" s="99">
        <v>1575</v>
      </c>
      <c r="G216" s="617">
        <f t="shared" si="24"/>
        <v>8019.361425000003</v>
      </c>
      <c r="H216" s="19">
        <f t="shared" si="25"/>
        <v>18373.95</v>
      </c>
      <c r="I216" s="511">
        <f>Ctrl!$J$8</f>
        <v>249798</v>
      </c>
      <c r="J216" s="19"/>
      <c r="K216" s="21">
        <f t="shared" si="26"/>
        <v>7493.94</v>
      </c>
      <c r="L216" s="21">
        <f t="shared" si="27"/>
        <v>4246.566000000001</v>
      </c>
      <c r="M216" s="21">
        <f t="shared" si="28"/>
        <v>3996.768</v>
      </c>
      <c r="N216" s="19">
        <f>$N$2*I216</f>
        <v>749.394</v>
      </c>
      <c r="O216" s="505">
        <f t="shared" si="29"/>
        <v>2361.052575</v>
      </c>
      <c r="P216" s="505"/>
    </row>
    <row r="217" spans="1:16" ht="22.5" customHeight="1">
      <c r="A217" s="39">
        <v>43</v>
      </c>
      <c r="B217" s="51">
        <v>53328</v>
      </c>
      <c r="C217" s="633" t="s">
        <v>246</v>
      </c>
      <c r="D217" s="58">
        <v>2525</v>
      </c>
      <c r="E217" s="58" t="s">
        <v>147</v>
      </c>
      <c r="F217" s="99">
        <v>1725</v>
      </c>
      <c r="G217" s="586">
        <f t="shared" si="24"/>
        <v>7205.999275000002</v>
      </c>
      <c r="H217" s="19">
        <f t="shared" si="25"/>
        <v>20123.850000000002</v>
      </c>
      <c r="I217" s="511">
        <f>Ctrl!$J$10</f>
        <v>322873</v>
      </c>
      <c r="J217" s="19"/>
      <c r="K217" s="21">
        <f t="shared" si="26"/>
        <v>9686.19</v>
      </c>
      <c r="L217" s="21">
        <f t="shared" si="27"/>
        <v>5488.841</v>
      </c>
      <c r="M217" s="21">
        <f t="shared" si="28"/>
        <v>5165.968</v>
      </c>
      <c r="N217" s="19">
        <f>$N$2*I217</f>
        <v>968.619</v>
      </c>
      <c r="O217" s="505">
        <f t="shared" si="29"/>
        <v>2585.9147250000005</v>
      </c>
      <c r="P217" s="505"/>
    </row>
    <row r="218" spans="1:16" ht="22.5" customHeight="1">
      <c r="A218" s="39">
        <v>43</v>
      </c>
      <c r="B218" s="51">
        <v>53328</v>
      </c>
      <c r="C218" s="633" t="s">
        <v>84</v>
      </c>
      <c r="D218" s="58">
        <v>3425</v>
      </c>
      <c r="E218" s="89" t="s">
        <v>147</v>
      </c>
      <c r="F218" s="99">
        <v>1990</v>
      </c>
      <c r="G218" s="586">
        <f t="shared" si="24"/>
        <v>6979.400810000002</v>
      </c>
      <c r="H218" s="19">
        <f t="shared" si="25"/>
        <v>23215.34</v>
      </c>
      <c r="I218" s="511">
        <f>Ctrl!$J$12</f>
        <v>414149</v>
      </c>
      <c r="J218" s="19"/>
      <c r="K218" s="21">
        <f t="shared" si="26"/>
        <v>12424.47</v>
      </c>
      <c r="L218" s="21">
        <f t="shared" si="27"/>
        <v>7040.533</v>
      </c>
      <c r="M218" s="21">
        <f t="shared" si="28"/>
        <v>6626.384</v>
      </c>
      <c r="N218" s="19">
        <f>$N$2*I218</f>
        <v>1242.4470000000001</v>
      </c>
      <c r="O218" s="505">
        <f t="shared" si="29"/>
        <v>2983.17119</v>
      </c>
      <c r="P218" s="505"/>
    </row>
    <row r="219" spans="1:17" ht="22.5" customHeight="1">
      <c r="A219" s="49">
        <v>44</v>
      </c>
      <c r="B219" s="37">
        <v>53328</v>
      </c>
      <c r="C219" s="631" t="s">
        <v>238</v>
      </c>
      <c r="D219" s="576">
        <v>950</v>
      </c>
      <c r="E219" s="576" t="s">
        <v>146</v>
      </c>
      <c r="F219" s="81">
        <v>1065</v>
      </c>
      <c r="G219" s="656">
        <f t="shared" si="24"/>
        <v>5356.958735</v>
      </c>
      <c r="H219" s="19">
        <f t="shared" si="25"/>
        <v>12424.29</v>
      </c>
      <c r="I219" s="511">
        <f>Ctrl!$J$4</f>
        <v>171965</v>
      </c>
      <c r="J219" s="98"/>
      <c r="K219" s="21">
        <f t="shared" si="26"/>
        <v>5158.95</v>
      </c>
      <c r="L219" s="21">
        <f t="shared" si="27"/>
        <v>2923.405</v>
      </c>
      <c r="M219" s="21">
        <f t="shared" si="28"/>
        <v>2751.44</v>
      </c>
      <c r="N219" s="98">
        <v>483.825</v>
      </c>
      <c r="O219" s="505">
        <f t="shared" si="29"/>
        <v>1596.521265</v>
      </c>
      <c r="P219" s="508"/>
      <c r="Q219" s="506"/>
    </row>
    <row r="220" spans="1:16" ht="22.5" customHeight="1">
      <c r="A220" s="49">
        <v>44</v>
      </c>
      <c r="B220" s="37">
        <v>53328</v>
      </c>
      <c r="C220" s="25" t="s">
        <v>264</v>
      </c>
      <c r="D220" s="59">
        <v>1380</v>
      </c>
      <c r="E220" s="576" t="s">
        <v>146</v>
      </c>
      <c r="F220" s="81">
        <v>1330</v>
      </c>
      <c r="G220" s="656">
        <f t="shared" si="24"/>
        <v>6515.95427</v>
      </c>
      <c r="H220" s="19">
        <f t="shared" si="25"/>
        <v>15515.78</v>
      </c>
      <c r="I220" s="511">
        <f>Ctrl!$J$6</f>
        <v>218939</v>
      </c>
      <c r="J220" s="19"/>
      <c r="K220" s="21">
        <f t="shared" si="26"/>
        <v>6568.17</v>
      </c>
      <c r="L220" s="21">
        <f t="shared" si="27"/>
        <v>3721.963</v>
      </c>
      <c r="M220" s="21">
        <f t="shared" si="28"/>
        <v>3503.024</v>
      </c>
      <c r="N220" s="19">
        <f>$N$2*I220</f>
        <v>656.817</v>
      </c>
      <c r="O220" s="505">
        <f t="shared" si="29"/>
        <v>1993.77773</v>
      </c>
      <c r="P220" s="505"/>
    </row>
    <row r="221" spans="1:16" ht="22.5" customHeight="1">
      <c r="A221" s="49">
        <v>44</v>
      </c>
      <c r="B221" s="53">
        <v>53328</v>
      </c>
      <c r="C221" s="627" t="s">
        <v>116</v>
      </c>
      <c r="D221" s="59">
        <v>1825</v>
      </c>
      <c r="E221" s="576" t="s">
        <v>146</v>
      </c>
      <c r="F221" s="81">
        <v>1600</v>
      </c>
      <c r="G221" s="81">
        <f t="shared" si="24"/>
        <v>8273.534400000004</v>
      </c>
      <c r="H221" s="19">
        <f t="shared" si="25"/>
        <v>18665.600000000002</v>
      </c>
      <c r="I221" s="511">
        <f>Ctrl!$J$8</f>
        <v>249798</v>
      </c>
      <c r="J221" s="19"/>
      <c r="K221" s="21">
        <f t="shared" si="26"/>
        <v>7493.94</v>
      </c>
      <c r="L221" s="21">
        <f t="shared" si="27"/>
        <v>4246.566000000001</v>
      </c>
      <c r="M221" s="21">
        <f t="shared" si="28"/>
        <v>3996.768</v>
      </c>
      <c r="N221" s="19">
        <f>$N$2*I221</f>
        <v>749.394</v>
      </c>
      <c r="O221" s="505">
        <f t="shared" si="29"/>
        <v>2398.5296000000003</v>
      </c>
      <c r="P221" s="505"/>
    </row>
    <row r="222" spans="1:16" ht="22.5" customHeight="1">
      <c r="A222" s="49">
        <v>44</v>
      </c>
      <c r="B222" s="53">
        <v>53328</v>
      </c>
      <c r="C222" s="627" t="s">
        <v>246</v>
      </c>
      <c r="D222" s="59">
        <v>2525</v>
      </c>
      <c r="E222" s="576" t="s">
        <v>146</v>
      </c>
      <c r="F222" s="81">
        <v>1750</v>
      </c>
      <c r="G222" s="656">
        <f t="shared" si="24"/>
        <v>7460.17225</v>
      </c>
      <c r="H222" s="19">
        <f t="shared" si="25"/>
        <v>20415.5</v>
      </c>
      <c r="I222" s="511">
        <f>Ctrl!$J$10</f>
        <v>322873</v>
      </c>
      <c r="J222" s="19"/>
      <c r="K222" s="21">
        <f t="shared" si="26"/>
        <v>9686.19</v>
      </c>
      <c r="L222" s="21">
        <f t="shared" si="27"/>
        <v>5488.841</v>
      </c>
      <c r="M222" s="21">
        <f t="shared" si="28"/>
        <v>5165.968</v>
      </c>
      <c r="N222" s="19">
        <f>$N$2*I222</f>
        <v>968.619</v>
      </c>
      <c r="O222" s="505">
        <f t="shared" si="29"/>
        <v>2623.3917500000002</v>
      </c>
      <c r="P222" s="505"/>
    </row>
    <row r="223" spans="1:16" ht="22.5" customHeight="1">
      <c r="A223" s="25">
        <v>44</v>
      </c>
      <c r="B223" s="53">
        <v>53328</v>
      </c>
      <c r="C223" s="627" t="s">
        <v>347</v>
      </c>
      <c r="D223" s="59">
        <v>3425</v>
      </c>
      <c r="E223" s="59" t="s">
        <v>146</v>
      </c>
      <c r="F223" s="81">
        <v>2015</v>
      </c>
      <c r="G223" s="656">
        <f t="shared" si="24"/>
        <v>7233.573785000003</v>
      </c>
      <c r="H223" s="19">
        <f t="shared" si="25"/>
        <v>23506.99</v>
      </c>
      <c r="I223" s="511">
        <f>Ctrl!$J$12</f>
        <v>414149</v>
      </c>
      <c r="J223" s="19"/>
      <c r="K223" s="21">
        <f t="shared" si="26"/>
        <v>12424.47</v>
      </c>
      <c r="L223" s="21">
        <f t="shared" si="27"/>
        <v>7040.533</v>
      </c>
      <c r="M223" s="21">
        <f t="shared" si="28"/>
        <v>6626.384</v>
      </c>
      <c r="N223" s="19">
        <f>$N$2*I223</f>
        <v>1242.4470000000001</v>
      </c>
      <c r="O223" s="505">
        <f t="shared" si="29"/>
        <v>3020.648215</v>
      </c>
      <c r="P223" s="505"/>
    </row>
    <row r="224" spans="2:16" ht="22.5" customHeight="1">
      <c r="B224" s="6"/>
      <c r="C224" s="30"/>
      <c r="D224" s="31"/>
      <c r="E224" s="85"/>
      <c r="F224" s="32"/>
      <c r="G224" s="509"/>
      <c r="H224" s="5"/>
      <c r="I224" s="9"/>
      <c r="J224" s="9"/>
      <c r="K224" s="18"/>
      <c r="L224" s="18"/>
      <c r="M224" s="18"/>
      <c r="N224" s="18"/>
      <c r="O224" s="16"/>
      <c r="P224" s="17"/>
    </row>
    <row r="225" spans="1:16" ht="22.5" customHeight="1">
      <c r="A225" s="25"/>
      <c r="B225" s="37"/>
      <c r="C225" s="634"/>
      <c r="D225" s="59"/>
      <c r="E225" s="59"/>
      <c r="F225" s="20"/>
      <c r="G225" s="511"/>
      <c r="H225" s="19"/>
      <c r="I225" s="19"/>
      <c r="J225" s="19"/>
      <c r="K225" s="21"/>
      <c r="L225" s="21"/>
      <c r="M225" s="21"/>
      <c r="N225" s="19"/>
      <c r="O225" s="505"/>
      <c r="P225" s="505"/>
    </row>
    <row r="227" spans="1:16" ht="22.5" customHeight="1">
      <c r="A227" s="388"/>
      <c r="B227" s="389"/>
      <c r="C227" s="635"/>
      <c r="D227" s="389"/>
      <c r="E227" s="389"/>
      <c r="F227" s="390"/>
      <c r="G227" s="512"/>
      <c r="H227" s="389"/>
      <c r="I227" s="391"/>
      <c r="J227" s="391"/>
      <c r="K227" s="389"/>
      <c r="L227" s="392"/>
      <c r="M227" s="389"/>
      <c r="N227" s="389"/>
      <c r="O227" s="389"/>
      <c r="P227" s="389"/>
    </row>
    <row r="228" spans="1:14" ht="22.5" customHeight="1">
      <c r="A228" s="61" t="s">
        <v>83</v>
      </c>
      <c r="B228" s="22" t="s">
        <v>188</v>
      </c>
      <c r="G228" s="513" t="s">
        <v>33</v>
      </c>
      <c r="M228" s="17"/>
      <c r="N228" s="17"/>
    </row>
    <row r="229" spans="1:17" ht="22.5" customHeight="1">
      <c r="A229" s="410">
        <v>1</v>
      </c>
      <c r="B229" s="411">
        <v>7116</v>
      </c>
      <c r="C229" s="79" t="s">
        <v>207</v>
      </c>
      <c r="D229" s="70"/>
      <c r="E229" s="71">
        <f aca="true" t="shared" si="30" ref="E229:E272">B229</f>
        <v>7116</v>
      </c>
      <c r="F229" s="413"/>
      <c r="G229" s="647">
        <f>MAX(G4,G5,G6,G7,G8)</f>
        <v>6494.323575000001</v>
      </c>
      <c r="H229" s="414" t="s">
        <v>15</v>
      </c>
      <c r="I229" s="413"/>
      <c r="J229" s="260"/>
      <c r="K229" s="415">
        <f>G229/B229</f>
        <v>0.9126368149241149</v>
      </c>
      <c r="L229" s="416"/>
      <c r="M229" s="443"/>
      <c r="N229" s="443"/>
      <c r="P229" s="505">
        <f>G234-G229</f>
        <v>254.1729750000004</v>
      </c>
      <c r="Q229" s="505" t="s">
        <v>29</v>
      </c>
    </row>
    <row r="230" spans="1:14" ht="22.5" customHeight="1">
      <c r="A230" s="517">
        <v>2</v>
      </c>
      <c r="B230" s="518">
        <v>7116</v>
      </c>
      <c r="C230" s="637" t="s">
        <v>39</v>
      </c>
      <c r="D230" s="498"/>
      <c r="E230" s="499">
        <f t="shared" si="30"/>
        <v>7116</v>
      </c>
      <c r="F230" s="520"/>
      <c r="G230" s="647">
        <f>MAX(G9,G10,G11,G12,G13)</f>
        <v>6494.323575000001</v>
      </c>
      <c r="H230" s="493" t="s">
        <v>286</v>
      </c>
      <c r="I230" s="66"/>
      <c r="J230" s="66"/>
      <c r="K230" s="94">
        <f>(G229-G230)/G230</f>
        <v>0</v>
      </c>
      <c r="L230" s="504" t="s">
        <v>220</v>
      </c>
      <c r="M230" s="23">
        <f>G229-G230</f>
        <v>0</v>
      </c>
      <c r="N230" s="504" t="s">
        <v>220</v>
      </c>
    </row>
    <row r="231" spans="1:14" ht="22.5" customHeight="1">
      <c r="A231" s="440">
        <v>3</v>
      </c>
      <c r="B231" s="441">
        <v>7116</v>
      </c>
      <c r="C231" s="36" t="s">
        <v>326</v>
      </c>
      <c r="D231" s="22"/>
      <c r="E231" s="34">
        <f>B231</f>
        <v>7116</v>
      </c>
      <c r="G231" s="647">
        <f>MAX(G14,G15,G16,G17)</f>
        <v>5985.977625000001</v>
      </c>
      <c r="H231" s="65" t="s">
        <v>405</v>
      </c>
      <c r="I231" s="66"/>
      <c r="J231" s="66"/>
      <c r="K231" s="95">
        <f>(G229-G231)/G229</f>
        <v>0.07827542685998669</v>
      </c>
      <c r="L231" s="68" t="s">
        <v>118</v>
      </c>
      <c r="M231" s="77">
        <f>G229-G231</f>
        <v>508.3459499999999</v>
      </c>
      <c r="N231" s="68" t="s">
        <v>118</v>
      </c>
    </row>
    <row r="232" spans="1:14" ht="22.5" customHeight="1">
      <c r="A232" s="438">
        <v>4</v>
      </c>
      <c r="B232" s="362">
        <v>7116</v>
      </c>
      <c r="C232" s="638" t="s">
        <v>327</v>
      </c>
      <c r="D232" s="39" t="s">
        <v>416</v>
      </c>
      <c r="E232" s="51">
        <f t="shared" si="30"/>
        <v>7116</v>
      </c>
      <c r="F232" s="363"/>
      <c r="G232" s="647">
        <f>MAX(G19,G20,G21,G22,G23)</f>
        <v>6748.496550000002</v>
      </c>
      <c r="H232" s="72" t="s">
        <v>223</v>
      </c>
      <c r="I232" s="63"/>
      <c r="J232" s="63"/>
      <c r="K232" s="96">
        <f>(G232-G229)/G229</f>
        <v>0.03913771342999341</v>
      </c>
      <c r="L232" s="73" t="s">
        <v>287</v>
      </c>
      <c r="M232" s="99">
        <f>G232-G229</f>
        <v>254.1729750000004</v>
      </c>
      <c r="N232" s="427" t="s">
        <v>117</v>
      </c>
    </row>
    <row r="233" spans="1:14" ht="22.5" customHeight="1">
      <c r="A233" s="439">
        <v>5</v>
      </c>
      <c r="B233" s="366">
        <v>7116</v>
      </c>
      <c r="C233" s="639" t="s">
        <v>328</v>
      </c>
      <c r="D233" s="367"/>
      <c r="E233" s="365">
        <f t="shared" si="30"/>
        <v>7116</v>
      </c>
      <c r="F233" s="368"/>
      <c r="G233" s="647">
        <f>MAX(G24,G25,G26,G27,G28,)</f>
        <v>7002.669525000003</v>
      </c>
      <c r="H233" s="371" t="s">
        <v>125</v>
      </c>
      <c r="I233" s="370"/>
      <c r="J233" s="370"/>
      <c r="K233" s="372">
        <f>(G233-G229)/G229</f>
        <v>0.07827542685998698</v>
      </c>
      <c r="L233" s="375" t="s">
        <v>287</v>
      </c>
      <c r="M233" s="369">
        <f>G233-G229</f>
        <v>508.3459500000017</v>
      </c>
      <c r="N233" s="373" t="s">
        <v>23</v>
      </c>
    </row>
    <row r="234" spans="1:17" ht="22.5" customHeight="1">
      <c r="A234" s="71">
        <v>6</v>
      </c>
      <c r="B234" s="411">
        <v>10000</v>
      </c>
      <c r="C234" s="79" t="s">
        <v>329</v>
      </c>
      <c r="D234" s="70"/>
      <c r="E234" s="71">
        <f t="shared" si="30"/>
        <v>10000</v>
      </c>
      <c r="F234" s="413"/>
      <c r="G234" s="647">
        <f>MAX(G29,G30,G31,G32,G33,)</f>
        <v>6748.496550000002</v>
      </c>
      <c r="H234" s="403" t="s">
        <v>300</v>
      </c>
      <c r="I234" s="413"/>
      <c r="J234" s="260"/>
      <c r="K234" s="442">
        <f>(G234-G229)/(B234-B229)</f>
        <v>0.08813209951456324</v>
      </c>
      <c r="L234" s="417" t="s">
        <v>228</v>
      </c>
      <c r="M234" s="444">
        <f>(G234-G229)/(B234-B229)</f>
        <v>0.08813209951456324</v>
      </c>
      <c r="N234" s="418"/>
      <c r="O234" s="76"/>
      <c r="P234" s="505">
        <f>G234</f>
        <v>6748.496550000002</v>
      </c>
      <c r="Q234" s="505" t="s">
        <v>32</v>
      </c>
    </row>
    <row r="235" spans="1:15" ht="22.5" customHeight="1">
      <c r="A235" s="360">
        <v>7</v>
      </c>
      <c r="B235" s="429">
        <v>10000</v>
      </c>
      <c r="C235" s="640" t="s">
        <v>330</v>
      </c>
      <c r="D235" s="359"/>
      <c r="E235" s="360">
        <f t="shared" si="30"/>
        <v>10000</v>
      </c>
      <c r="F235" s="431" t="s">
        <v>127</v>
      </c>
      <c r="G235" s="647">
        <f>MAX(G34,G35,G36,G37,G38)</f>
        <v>6494.323575000001</v>
      </c>
      <c r="H235" s="432" t="s">
        <v>200</v>
      </c>
      <c r="I235" s="433"/>
      <c r="J235" s="433"/>
      <c r="K235" s="434">
        <f>(G234-G235)/G234</f>
        <v>0.03766364450464161</v>
      </c>
      <c r="L235" s="435" t="s">
        <v>235</v>
      </c>
      <c r="M235" s="91">
        <f>G234-G235</f>
        <v>254.1729750000004</v>
      </c>
      <c r="N235" s="436" t="s">
        <v>235</v>
      </c>
      <c r="O235" s="76"/>
    </row>
    <row r="236" spans="1:15" ht="22.5" customHeight="1">
      <c r="A236" s="55">
        <v>8</v>
      </c>
      <c r="B236" s="441">
        <v>10000</v>
      </c>
      <c r="C236" s="36" t="s">
        <v>216</v>
      </c>
      <c r="D236" s="22"/>
      <c r="E236" s="34">
        <f t="shared" si="30"/>
        <v>10000</v>
      </c>
      <c r="G236" s="647">
        <f>MAX(G39,G40,G41,G42,G43,)</f>
        <v>6240.150599999999</v>
      </c>
      <c r="H236" s="65" t="s">
        <v>405</v>
      </c>
      <c r="I236" s="66"/>
      <c r="J236" s="66"/>
      <c r="K236" s="95">
        <f>(G234-G236)/G234</f>
        <v>0.07532728900928348</v>
      </c>
      <c r="L236" s="68" t="s">
        <v>118</v>
      </c>
      <c r="M236" s="77">
        <f>G234-G236</f>
        <v>508.34595000000263</v>
      </c>
      <c r="N236" s="68" t="s">
        <v>118</v>
      </c>
      <c r="O236" s="75"/>
    </row>
    <row r="237" spans="1:15" ht="22.5" customHeight="1">
      <c r="A237" s="446">
        <v>9</v>
      </c>
      <c r="B237" s="452">
        <v>10000</v>
      </c>
      <c r="C237" s="445" t="s">
        <v>170</v>
      </c>
      <c r="D237" s="445" t="s">
        <v>417</v>
      </c>
      <c r="E237" s="446">
        <f>B237</f>
        <v>10000</v>
      </c>
      <c r="F237" s="451"/>
      <c r="G237" s="647">
        <f>MAX(G44,G45,G46,G47,G48)</f>
        <v>6494.323575000001</v>
      </c>
      <c r="H237" s="454" t="s">
        <v>219</v>
      </c>
      <c r="I237" s="451"/>
      <c r="J237" s="451"/>
      <c r="K237" s="455">
        <f>(G234-G237)/G234</f>
        <v>0.03766364450464161</v>
      </c>
      <c r="L237" s="456" t="s">
        <v>220</v>
      </c>
      <c r="M237" s="449">
        <f>G234-G237</f>
        <v>254.1729750000004</v>
      </c>
      <c r="N237" s="456" t="s">
        <v>220</v>
      </c>
      <c r="O237" s="75"/>
    </row>
    <row r="238" spans="1:15" ht="22.5" customHeight="1">
      <c r="A238" s="51">
        <v>10</v>
      </c>
      <c r="B238" s="362">
        <v>10000</v>
      </c>
      <c r="C238" s="638" t="s">
        <v>171</v>
      </c>
      <c r="D238" s="39"/>
      <c r="E238" s="51">
        <f t="shared" si="30"/>
        <v>10000</v>
      </c>
      <c r="F238" s="363"/>
      <c r="G238" s="647">
        <f>MAX(G49,G50,G51,G52,G53)</f>
        <v>7002.669525000003</v>
      </c>
      <c r="H238" s="72" t="s">
        <v>223</v>
      </c>
      <c r="I238" s="63"/>
      <c r="J238" s="63"/>
      <c r="K238" s="96">
        <f>(G238-G234)/G234</f>
        <v>0.03766364450464174</v>
      </c>
      <c r="L238" s="73" t="s">
        <v>117</v>
      </c>
      <c r="M238" s="99">
        <f>G238-G234</f>
        <v>254.17297500000132</v>
      </c>
      <c r="N238" s="427" t="s">
        <v>117</v>
      </c>
      <c r="O238" s="76"/>
    </row>
    <row r="239" spans="1:15" ht="22.5" customHeight="1">
      <c r="A239" s="365">
        <v>11</v>
      </c>
      <c r="B239" s="366">
        <v>10000</v>
      </c>
      <c r="C239" s="639" t="s">
        <v>350</v>
      </c>
      <c r="D239" s="367"/>
      <c r="E239" s="365">
        <f t="shared" si="30"/>
        <v>10000</v>
      </c>
      <c r="F239" s="368"/>
      <c r="G239" s="647">
        <f>MAX(G54,G55,G56,G57,G58)</f>
        <v>7256.842500000002</v>
      </c>
      <c r="H239" s="371" t="s">
        <v>125</v>
      </c>
      <c r="I239" s="370"/>
      <c r="J239" s="370"/>
      <c r="K239" s="372">
        <f>(G239-G234)/G234</f>
        <v>0.07532728900928308</v>
      </c>
      <c r="L239" s="373" t="s">
        <v>23</v>
      </c>
      <c r="M239" s="369">
        <f>G239-G234</f>
        <v>508.3459499999999</v>
      </c>
      <c r="N239" s="373" t="s">
        <v>23</v>
      </c>
      <c r="O239" s="75"/>
    </row>
    <row r="240" spans="1:17" ht="22.5" customHeight="1">
      <c r="A240" s="71">
        <v>12</v>
      </c>
      <c r="B240" s="411">
        <v>15000</v>
      </c>
      <c r="C240" s="70" t="s">
        <v>351</v>
      </c>
      <c r="D240" s="70"/>
      <c r="E240" s="71">
        <f t="shared" si="30"/>
        <v>15000</v>
      </c>
      <c r="F240" s="413"/>
      <c r="G240" s="647">
        <f>MAX(G59,G60,G61,G62,G63)</f>
        <v>7155.173310000002</v>
      </c>
      <c r="H240" s="661" t="s">
        <v>302</v>
      </c>
      <c r="I240" s="413"/>
      <c r="J240" s="413"/>
      <c r="K240" s="415">
        <f>(G240-$G$234)/(B240-$B$234)</f>
        <v>0.08133535200000006</v>
      </c>
      <c r="L240" s="417" t="s">
        <v>228</v>
      </c>
      <c r="M240" s="444">
        <f>(G240-$G$234)/(B240-$B$234)</f>
        <v>0.08133535200000006</v>
      </c>
      <c r="N240" s="418">
        <f>K240/K234</f>
        <v>0.9228799999999991</v>
      </c>
      <c r="O240" s="418" t="s">
        <v>401</v>
      </c>
      <c r="P240" s="505">
        <f>G240-G234</f>
        <v>406.6767600000003</v>
      </c>
      <c r="Q240" s="505" t="s">
        <v>173</v>
      </c>
    </row>
    <row r="241" spans="1:15" ht="22.5" customHeight="1">
      <c r="A241" s="34">
        <v>13</v>
      </c>
      <c r="B241" s="407">
        <v>15000</v>
      </c>
      <c r="C241" s="36" t="s">
        <v>69</v>
      </c>
      <c r="D241" s="36"/>
      <c r="E241" s="34">
        <f t="shared" si="30"/>
        <v>15000</v>
      </c>
      <c r="G241" s="647">
        <f>MAX(G64,G65,G66,G67,G68)</f>
        <v>6646.827360000003</v>
      </c>
      <c r="H241" s="65" t="s">
        <v>405</v>
      </c>
      <c r="I241" s="66"/>
      <c r="J241" s="66"/>
      <c r="K241" s="95">
        <f>(G240-G241)/G240</f>
        <v>0.07104593110128297</v>
      </c>
      <c r="L241" s="67" t="s">
        <v>105</v>
      </c>
      <c r="M241" s="77">
        <f>G240-G241</f>
        <v>508.345949999999</v>
      </c>
      <c r="N241" s="68" t="s">
        <v>118</v>
      </c>
      <c r="O241" s="76"/>
    </row>
    <row r="242" spans="1:15" ht="22.5" customHeight="1">
      <c r="A242" s="446">
        <v>14</v>
      </c>
      <c r="B242" s="452">
        <v>15000</v>
      </c>
      <c r="C242" s="445" t="s">
        <v>413</v>
      </c>
      <c r="D242" s="445" t="s">
        <v>417</v>
      </c>
      <c r="E242" s="446">
        <f>B242</f>
        <v>15000</v>
      </c>
      <c r="F242" s="451"/>
      <c r="G242" s="647">
        <f>MAX(G69,G70,G71,G72,G73)</f>
        <v>6901.000335000004</v>
      </c>
      <c r="H242" s="454" t="s">
        <v>219</v>
      </c>
      <c r="I242" s="451"/>
      <c r="J242" s="451"/>
      <c r="K242" s="455">
        <f>(G240-G242)/G240</f>
        <v>0.03552296555064123</v>
      </c>
      <c r="L242" s="457" t="s">
        <v>220</v>
      </c>
      <c r="M242" s="449">
        <f>G240-G242</f>
        <v>254.17297499999768</v>
      </c>
      <c r="N242" s="456" t="s">
        <v>220</v>
      </c>
      <c r="O242" s="76"/>
    </row>
    <row r="243" spans="1:15" ht="22.5" customHeight="1">
      <c r="A243" s="51">
        <v>15</v>
      </c>
      <c r="B243" s="362">
        <v>15000</v>
      </c>
      <c r="C243" s="638" t="s">
        <v>91</v>
      </c>
      <c r="D243" s="39"/>
      <c r="E243" s="51">
        <f t="shared" si="30"/>
        <v>15000</v>
      </c>
      <c r="F243" s="363"/>
      <c r="G243" s="647">
        <f>MAX(G74,G75,G76,G77,G78)</f>
        <v>7409.346285000003</v>
      </c>
      <c r="H243" s="72" t="s">
        <v>223</v>
      </c>
      <c r="I243" s="63"/>
      <c r="J243" s="63"/>
      <c r="K243" s="96">
        <f>(G243-G240)/(G240)</f>
        <v>0.035522965550641744</v>
      </c>
      <c r="L243" s="64" t="s">
        <v>41</v>
      </c>
      <c r="M243" s="99">
        <f>G243-G240</f>
        <v>254.17297500000132</v>
      </c>
      <c r="N243" s="427" t="s">
        <v>117</v>
      </c>
      <c r="O243" s="75"/>
    </row>
    <row r="244" spans="1:15" ht="22.5" customHeight="1">
      <c r="A244" s="365">
        <v>16</v>
      </c>
      <c r="B244" s="366">
        <v>15000</v>
      </c>
      <c r="C244" s="367" t="s">
        <v>239</v>
      </c>
      <c r="D244" s="367"/>
      <c r="E244" s="365">
        <f t="shared" si="30"/>
        <v>15000</v>
      </c>
      <c r="F244" s="368"/>
      <c r="G244" s="647">
        <f>MAX(G79,G80,G81,G82,G83)</f>
        <v>7663.519260000001</v>
      </c>
      <c r="H244" s="371" t="s">
        <v>355</v>
      </c>
      <c r="I244" s="368"/>
      <c r="J244" s="368"/>
      <c r="K244" s="372">
        <f>(G244-G240)/(G240)</f>
        <v>0.07104593110128297</v>
      </c>
      <c r="L244" s="375" t="s">
        <v>23</v>
      </c>
      <c r="M244" s="369">
        <f>G244-G240</f>
        <v>508.345949999999</v>
      </c>
      <c r="N244" s="373" t="s">
        <v>23</v>
      </c>
      <c r="O244" s="75"/>
    </row>
    <row r="245" spans="1:16" ht="22.5" customHeight="1">
      <c r="A245" s="71">
        <v>17</v>
      </c>
      <c r="B245" s="411">
        <v>20000</v>
      </c>
      <c r="C245" s="70" t="s">
        <v>231</v>
      </c>
      <c r="D245" s="70"/>
      <c r="E245" s="71">
        <f t="shared" si="30"/>
        <v>20000</v>
      </c>
      <c r="F245" s="80"/>
      <c r="G245" s="647">
        <f>MAX(G84,G85,G86,G87,G88)</f>
        <v>7511.015475000003</v>
      </c>
      <c r="H245" s="661" t="s">
        <v>301</v>
      </c>
      <c r="I245" s="260"/>
      <c r="J245" s="260"/>
      <c r="K245" s="415">
        <f>(G245-$G$240)/(B245-$B$240)</f>
        <v>0.07116843300000018</v>
      </c>
      <c r="L245" s="417" t="s">
        <v>40</v>
      </c>
      <c r="M245" s="444"/>
      <c r="N245" s="418">
        <f>K245/K234</f>
        <v>0.8075200000000008</v>
      </c>
      <c r="O245" s="418" t="s">
        <v>401</v>
      </c>
      <c r="P245" s="505">
        <f>G245-G240</f>
        <v>355.84216500000093</v>
      </c>
    </row>
    <row r="246" spans="1:15" ht="22.5" customHeight="1">
      <c r="A246" s="34">
        <v>18</v>
      </c>
      <c r="B246" s="407">
        <v>20000</v>
      </c>
      <c r="C246" s="36" t="s">
        <v>413</v>
      </c>
      <c r="D246" s="22"/>
      <c r="E246" s="34">
        <f t="shared" si="30"/>
        <v>20000</v>
      </c>
      <c r="F246" s="23"/>
      <c r="G246" s="647">
        <f>MAX(G89,G90,G91,G92,G93)</f>
        <v>7002.669525000003</v>
      </c>
      <c r="H246" s="65" t="s">
        <v>406</v>
      </c>
      <c r="I246" s="66"/>
      <c r="J246" s="66"/>
      <c r="K246" s="95">
        <f>(G245-G246)/(G245)</f>
        <v>0.06768005627095312</v>
      </c>
      <c r="L246" s="67" t="s">
        <v>128</v>
      </c>
      <c r="M246" s="77">
        <f>G245-G246</f>
        <v>508.3459499999999</v>
      </c>
      <c r="N246" s="68" t="s">
        <v>118</v>
      </c>
      <c r="O246" s="76"/>
    </row>
    <row r="247" spans="1:15" ht="22.5" customHeight="1">
      <c r="A247" s="446">
        <v>19</v>
      </c>
      <c r="B247" s="452">
        <v>20000</v>
      </c>
      <c r="C247" s="445" t="s">
        <v>413</v>
      </c>
      <c r="D247" s="445" t="s">
        <v>417</v>
      </c>
      <c r="E247" s="446">
        <f>B247</f>
        <v>20000</v>
      </c>
      <c r="F247" s="449"/>
      <c r="G247" s="647">
        <f>MAX(G94,G95,G96,G97,G98)</f>
        <v>7256.842500000002</v>
      </c>
      <c r="H247" s="454" t="s">
        <v>219</v>
      </c>
      <c r="I247" s="451"/>
      <c r="J247" s="451"/>
      <c r="K247" s="455">
        <f>(G245-G247)/(G245)</f>
        <v>0.03384002813547674</v>
      </c>
      <c r="L247" s="457" t="s">
        <v>220</v>
      </c>
      <c r="M247" s="449">
        <f>G245-G247</f>
        <v>254.17297500000132</v>
      </c>
      <c r="N247" s="456" t="s">
        <v>220</v>
      </c>
      <c r="O247" s="76"/>
    </row>
    <row r="248" spans="1:15" ht="22.5" customHeight="1">
      <c r="A248" s="39">
        <v>20</v>
      </c>
      <c r="B248" s="362">
        <v>20000</v>
      </c>
      <c r="C248" s="638" t="s">
        <v>232</v>
      </c>
      <c r="D248" s="39"/>
      <c r="E248" s="51">
        <f t="shared" si="30"/>
        <v>20000</v>
      </c>
      <c r="F248" s="99"/>
      <c r="G248" s="647">
        <f>MAX(G99,G100,G101,G102,G103)</f>
        <v>7765.1884500000015</v>
      </c>
      <c r="H248" s="72" t="s">
        <v>223</v>
      </c>
      <c r="I248" s="63"/>
      <c r="J248" s="63"/>
      <c r="K248" s="96">
        <f>(G248-$G$245)/($G$245)</f>
        <v>0.03384002813547638</v>
      </c>
      <c r="L248" s="64" t="s">
        <v>40</v>
      </c>
      <c r="M248" s="99">
        <f>G248-G245</f>
        <v>254.1729749999986</v>
      </c>
      <c r="N248" s="427" t="s">
        <v>117</v>
      </c>
      <c r="O248" s="76"/>
    </row>
    <row r="249" spans="1:15" ht="22.5" customHeight="1">
      <c r="A249" s="367">
        <v>21</v>
      </c>
      <c r="B249" s="366">
        <v>20000</v>
      </c>
      <c r="C249" s="639" t="s">
        <v>233</v>
      </c>
      <c r="D249" s="367"/>
      <c r="E249" s="365">
        <f t="shared" si="30"/>
        <v>20000</v>
      </c>
      <c r="F249" s="369"/>
      <c r="G249" s="647">
        <f>MAX(G104,G105,G106,G107,G108)</f>
        <v>8019.361425000003</v>
      </c>
      <c r="H249" s="371" t="s">
        <v>136</v>
      </c>
      <c r="I249" s="376"/>
      <c r="J249" s="376"/>
      <c r="K249" s="372">
        <f>(G249-$G$245)/($G$245)</f>
        <v>0.06768005627095312</v>
      </c>
      <c r="L249" s="375" t="s">
        <v>222</v>
      </c>
      <c r="M249" s="369">
        <f>G249-G245</f>
        <v>508.3459499999999</v>
      </c>
      <c r="N249" s="373" t="s">
        <v>23</v>
      </c>
      <c r="O249" s="76"/>
    </row>
    <row r="250" spans="1:17" s="17" customFormat="1" ht="22.5" customHeight="1">
      <c r="A250" s="422">
        <v>22</v>
      </c>
      <c r="B250" s="423">
        <v>20000</v>
      </c>
      <c r="C250" s="641" t="s">
        <v>234</v>
      </c>
      <c r="D250" s="422"/>
      <c r="E250" s="425">
        <f t="shared" si="30"/>
        <v>20000</v>
      </c>
      <c r="F250" s="426"/>
      <c r="G250" s="647">
        <f>MAX(G109,G110,G111,G112,G113)</f>
        <v>8273.534400000004</v>
      </c>
      <c r="H250" s="383" t="s">
        <v>197</v>
      </c>
      <c r="I250" s="384"/>
      <c r="J250" s="384"/>
      <c r="K250" s="385">
        <f>(G250-$G$245)/($G$245)</f>
        <v>0.10152008440642987</v>
      </c>
      <c r="L250" s="386" t="s">
        <v>117</v>
      </c>
      <c r="M250" s="437">
        <f>G250-G245</f>
        <v>762.5189250000012</v>
      </c>
      <c r="N250" s="386" t="s">
        <v>117</v>
      </c>
      <c r="O250" s="76"/>
      <c r="P250" s="12"/>
      <c r="Q250" s="505"/>
    </row>
    <row r="251" spans="1:16" s="17" customFormat="1" ht="22.5" customHeight="1">
      <c r="A251" s="70">
        <v>23</v>
      </c>
      <c r="B251" s="411">
        <v>25000</v>
      </c>
      <c r="C251" s="70" t="s">
        <v>138</v>
      </c>
      <c r="D251" s="70"/>
      <c r="E251" s="71">
        <f t="shared" si="30"/>
        <v>25000</v>
      </c>
      <c r="F251" s="413"/>
      <c r="G251" s="647">
        <f>MAX(G114,G115,G116,G117,G118)</f>
        <v>7663.519260000001</v>
      </c>
      <c r="H251" s="403" t="s">
        <v>303</v>
      </c>
      <c r="I251" s="260"/>
      <c r="J251" s="260"/>
      <c r="K251" s="415">
        <f>(G251-$G$245)/(B251-$B$245)</f>
        <v>0.03050075699999961</v>
      </c>
      <c r="L251" s="417" t="s">
        <v>40</v>
      </c>
      <c r="M251" s="428">
        <f>(G251-$G$234)/(B251-$B$234)</f>
        <v>0.06100151399999995</v>
      </c>
      <c r="N251" s="418">
        <f>K251/K234</f>
        <v>0.34607999999999506</v>
      </c>
      <c r="O251" s="418" t="s">
        <v>401</v>
      </c>
      <c r="P251" s="505">
        <f>G251-G245</f>
        <v>152.50378499999806</v>
      </c>
    </row>
    <row r="252" spans="1:17" s="17" customFormat="1" ht="22.5" customHeight="1">
      <c r="A252" s="22">
        <v>24</v>
      </c>
      <c r="B252" s="407">
        <v>25000</v>
      </c>
      <c r="C252" s="36" t="s">
        <v>139</v>
      </c>
      <c r="D252" s="22"/>
      <c r="E252" s="34">
        <f t="shared" si="30"/>
        <v>25000</v>
      </c>
      <c r="F252" s="26"/>
      <c r="G252" s="647">
        <f>MAX(G119,G120,G121,G122,G123)</f>
        <v>7155.173310000002</v>
      </c>
      <c r="H252" s="65" t="s">
        <v>201</v>
      </c>
      <c r="I252" s="15"/>
      <c r="J252" s="15"/>
      <c r="K252" s="95">
        <f>(G251-G252)/G251</f>
        <v>0.0663332253437827</v>
      </c>
      <c r="L252" s="90" t="s">
        <v>105</v>
      </c>
      <c r="M252" s="77">
        <f>G251-G252</f>
        <v>508.345949999999</v>
      </c>
      <c r="N252" s="68" t="s">
        <v>118</v>
      </c>
      <c r="O252" s="76"/>
      <c r="P252" s="12"/>
      <c r="Q252" s="505"/>
    </row>
    <row r="253" spans="1:17" s="17" customFormat="1" ht="22.5" customHeight="1">
      <c r="A253" s="445">
        <v>25</v>
      </c>
      <c r="B253" s="452">
        <v>25000</v>
      </c>
      <c r="C253" s="445" t="s">
        <v>413</v>
      </c>
      <c r="D253" s="445" t="s">
        <v>417</v>
      </c>
      <c r="E253" s="446">
        <f>B253</f>
        <v>25000</v>
      </c>
      <c r="F253" s="451"/>
      <c r="G253" s="647">
        <f>MAX(G124,G125,G126,G127,G128)</f>
        <v>7409.346285000003</v>
      </c>
      <c r="H253" s="454" t="s">
        <v>296</v>
      </c>
      <c r="I253" s="458"/>
      <c r="J253" s="458"/>
      <c r="K253" s="455">
        <f>(G251-G253)/G251</f>
        <v>0.03316661267189112</v>
      </c>
      <c r="L253" s="459" t="s">
        <v>220</v>
      </c>
      <c r="M253" s="460">
        <f>G251-G253</f>
        <v>254.17297499999768</v>
      </c>
      <c r="N253" s="461" t="s">
        <v>220</v>
      </c>
      <c r="O253" s="76"/>
      <c r="P253" s="12"/>
      <c r="Q253" s="505"/>
    </row>
    <row r="254" spans="1:17" s="17" customFormat="1" ht="22.5" customHeight="1">
      <c r="A254" s="39">
        <v>26</v>
      </c>
      <c r="B254" s="362">
        <v>25000</v>
      </c>
      <c r="C254" s="638" t="s">
        <v>140</v>
      </c>
      <c r="D254" s="39"/>
      <c r="E254" s="51">
        <f t="shared" si="30"/>
        <v>25000</v>
      </c>
      <c r="F254" s="363"/>
      <c r="G254" s="647">
        <f>MAX(G129,G130,G131,G132,G133)</f>
        <v>7917.692235000002</v>
      </c>
      <c r="H254" s="72" t="s">
        <v>223</v>
      </c>
      <c r="I254" s="63"/>
      <c r="J254" s="63"/>
      <c r="K254" s="96">
        <f>(G254-$G$251)/($G$251)</f>
        <v>0.033166612671891596</v>
      </c>
      <c r="L254" s="64" t="s">
        <v>132</v>
      </c>
      <c r="M254" s="99">
        <f>G254-G251</f>
        <v>254.17297500000132</v>
      </c>
      <c r="N254" s="427" t="s">
        <v>117</v>
      </c>
      <c r="O254" s="76"/>
      <c r="P254" s="12"/>
      <c r="Q254" s="505"/>
    </row>
    <row r="255" spans="1:17" s="17" customFormat="1" ht="22.5" customHeight="1">
      <c r="A255" s="367">
        <v>27</v>
      </c>
      <c r="B255" s="366">
        <v>25000</v>
      </c>
      <c r="C255" s="639" t="s">
        <v>43</v>
      </c>
      <c r="D255" s="367"/>
      <c r="E255" s="365">
        <f t="shared" si="30"/>
        <v>25000</v>
      </c>
      <c r="F255" s="368"/>
      <c r="G255" s="647">
        <f>MAX(G134,G135,G136,G137,G138)</f>
        <v>8171.865210000004</v>
      </c>
      <c r="H255" s="371" t="s">
        <v>197</v>
      </c>
      <c r="I255" s="368"/>
      <c r="J255" s="368"/>
      <c r="K255" s="372">
        <f>(G255-$G$251)/($G$251)</f>
        <v>0.06633322534378319</v>
      </c>
      <c r="L255" s="375" t="s">
        <v>129</v>
      </c>
      <c r="M255" s="369">
        <f>G255-G251</f>
        <v>508.34595000000263</v>
      </c>
      <c r="N255" s="373" t="s">
        <v>23</v>
      </c>
      <c r="O255" s="76"/>
      <c r="P255" s="12"/>
      <c r="Q255" s="505"/>
    </row>
    <row r="256" spans="1:17" s="17" customFormat="1" ht="22.5" customHeight="1">
      <c r="A256" s="379">
        <v>28</v>
      </c>
      <c r="B256" s="380">
        <v>25000</v>
      </c>
      <c r="C256" s="642" t="s">
        <v>44</v>
      </c>
      <c r="D256" s="379"/>
      <c r="E256" s="381">
        <f t="shared" si="30"/>
        <v>25000</v>
      </c>
      <c r="F256" s="382"/>
      <c r="G256" s="647">
        <f>MAX(G139,G140,G141,G142,G143)</f>
        <v>8426.038185000001</v>
      </c>
      <c r="H256" s="383" t="s">
        <v>197</v>
      </c>
      <c r="I256" s="384"/>
      <c r="J256" s="384"/>
      <c r="K256" s="385">
        <f>(G256-$G$251)/($G$251)</f>
        <v>0.0994998380156743</v>
      </c>
      <c r="L256" s="386" t="s">
        <v>130</v>
      </c>
      <c r="M256" s="437">
        <f>G256-G251</f>
        <v>762.5189250000003</v>
      </c>
      <c r="N256" s="386" t="s">
        <v>117</v>
      </c>
      <c r="O256" s="76"/>
      <c r="P256" s="12"/>
      <c r="Q256" s="505"/>
    </row>
    <row r="257" spans="1:16" s="17" customFormat="1" ht="22.5" customHeight="1">
      <c r="A257" s="70">
        <v>29</v>
      </c>
      <c r="B257" s="411">
        <v>30000</v>
      </c>
      <c r="C257" s="70" t="s">
        <v>138</v>
      </c>
      <c r="D257" s="70"/>
      <c r="E257" s="71">
        <f t="shared" si="30"/>
        <v>30000</v>
      </c>
      <c r="F257" s="413"/>
      <c r="G257" s="647">
        <f>MAX(G144,G145,G146,G147,G148)</f>
        <v>7765.1884500000015</v>
      </c>
      <c r="H257" s="403" t="s">
        <v>304</v>
      </c>
      <c r="I257" s="260"/>
      <c r="J257" s="260"/>
      <c r="K257" s="415">
        <f>(G257-$G$251)/(B257-$B$251)</f>
        <v>0.020333838000000104</v>
      </c>
      <c r="L257" s="417" t="s">
        <v>40</v>
      </c>
      <c r="M257" s="419">
        <f>(G257-$G$234)/(B257-$B$234)</f>
        <v>0.05083459499999999</v>
      </c>
      <c r="N257" s="587">
        <f>K257/K234</f>
        <v>0.2307200000000008</v>
      </c>
      <c r="O257" s="418" t="s">
        <v>401</v>
      </c>
      <c r="P257" s="505">
        <f>G257-G251</f>
        <v>101.66919000000053</v>
      </c>
    </row>
    <row r="258" spans="1:17" s="17" customFormat="1" ht="22.5" customHeight="1">
      <c r="A258" s="22">
        <v>30</v>
      </c>
      <c r="B258" s="407">
        <v>30000</v>
      </c>
      <c r="C258" s="36" t="s">
        <v>45</v>
      </c>
      <c r="D258" s="22"/>
      <c r="E258" s="34">
        <f t="shared" si="30"/>
        <v>30000</v>
      </c>
      <c r="F258" s="26"/>
      <c r="G258" s="647">
        <f>MAX(G149,G150,G151,G152,G153)</f>
        <v>7256.842500000002</v>
      </c>
      <c r="H258" s="65" t="s">
        <v>201</v>
      </c>
      <c r="I258" s="15"/>
      <c r="J258" s="15"/>
      <c r="K258" s="95">
        <f>(G257-G258)/(G257)</f>
        <v>0.06546472803245358</v>
      </c>
      <c r="L258" s="90" t="s">
        <v>105</v>
      </c>
      <c r="M258" s="77">
        <f>G257-G258</f>
        <v>508.3459499999999</v>
      </c>
      <c r="N258" s="68" t="s">
        <v>118</v>
      </c>
      <c r="O258" s="76"/>
      <c r="P258" s="12"/>
      <c r="Q258" s="505"/>
    </row>
    <row r="259" spans="1:17" s="17" customFormat="1" ht="22.5" customHeight="1">
      <c r="A259" s="445">
        <v>31</v>
      </c>
      <c r="B259" s="452">
        <v>30000</v>
      </c>
      <c r="C259" s="445" t="s">
        <v>45</v>
      </c>
      <c r="D259" s="445" t="s">
        <v>417</v>
      </c>
      <c r="E259" s="446">
        <f>B259</f>
        <v>30000</v>
      </c>
      <c r="F259" s="451"/>
      <c r="G259" s="647">
        <f>MAX(G154,G155,G156,G157,G158)</f>
        <v>7511.015475000003</v>
      </c>
      <c r="H259" s="454" t="s">
        <v>296</v>
      </c>
      <c r="I259" s="458"/>
      <c r="J259" s="458"/>
      <c r="K259" s="455">
        <f>(G257-G259)/(G257)</f>
        <v>0.03273236401622662</v>
      </c>
      <c r="L259" s="459" t="s">
        <v>220</v>
      </c>
      <c r="M259" s="460">
        <f>G257-G259</f>
        <v>254.1729749999986</v>
      </c>
      <c r="N259" s="461" t="s">
        <v>220</v>
      </c>
      <c r="O259" s="76"/>
      <c r="P259" s="12"/>
      <c r="Q259" s="505"/>
    </row>
    <row r="260" spans="1:17" s="17" customFormat="1" ht="22.5" customHeight="1">
      <c r="A260" s="39">
        <v>32</v>
      </c>
      <c r="B260" s="362">
        <v>30000</v>
      </c>
      <c r="C260" s="638" t="s">
        <v>91</v>
      </c>
      <c r="D260" s="39"/>
      <c r="E260" s="51">
        <f>B260</f>
        <v>30000</v>
      </c>
      <c r="F260" s="363"/>
      <c r="G260" s="647">
        <f>MAX(G159,G160,G161,G162,G163)</f>
        <v>8019.361425000003</v>
      </c>
      <c r="H260" s="72" t="s">
        <v>125</v>
      </c>
      <c r="I260" s="74"/>
      <c r="J260" s="74"/>
      <c r="K260" s="97">
        <f>(G260-$G$257)/($G$257)</f>
        <v>0.03273236401622697</v>
      </c>
      <c r="L260" s="64" t="s">
        <v>132</v>
      </c>
      <c r="M260" s="99">
        <f>G260-G257</f>
        <v>254.17297500000132</v>
      </c>
      <c r="N260" s="427" t="s">
        <v>117</v>
      </c>
      <c r="O260" s="76"/>
      <c r="P260" s="12"/>
      <c r="Q260" s="505"/>
    </row>
    <row r="261" spans="1:17" s="17" customFormat="1" ht="22.5" customHeight="1">
      <c r="A261" s="367">
        <v>33</v>
      </c>
      <c r="B261" s="366">
        <v>30000</v>
      </c>
      <c r="C261" s="639" t="s">
        <v>46</v>
      </c>
      <c r="D261" s="367"/>
      <c r="E261" s="365">
        <f>B261</f>
        <v>30000</v>
      </c>
      <c r="F261" s="368"/>
      <c r="G261" s="647">
        <f>MAX(G164,G165,G166,G167,G168)</f>
        <v>8273.534400000004</v>
      </c>
      <c r="H261" s="371" t="s">
        <v>197</v>
      </c>
      <c r="I261" s="376"/>
      <c r="J261" s="376"/>
      <c r="K261" s="372">
        <f>(G261-G257)/(G257)</f>
        <v>0.06546472803245394</v>
      </c>
      <c r="L261" s="377" t="s">
        <v>129</v>
      </c>
      <c r="M261" s="369">
        <f>G261-G257</f>
        <v>508.34595000000263</v>
      </c>
      <c r="N261" s="373" t="s">
        <v>23</v>
      </c>
      <c r="O261" s="76"/>
      <c r="P261" s="12"/>
      <c r="Q261" s="505"/>
    </row>
    <row r="262" spans="1:17" s="17" customFormat="1" ht="22.5" customHeight="1">
      <c r="A262" s="379">
        <v>34</v>
      </c>
      <c r="B262" s="380">
        <v>30000</v>
      </c>
      <c r="C262" s="642" t="s">
        <v>234</v>
      </c>
      <c r="D262" s="379"/>
      <c r="E262" s="381">
        <f>B262</f>
        <v>30000</v>
      </c>
      <c r="F262" s="382"/>
      <c r="G262" s="647">
        <f>MAX(G169,G170,G171,G172,G173)</f>
        <v>8527.707375000002</v>
      </c>
      <c r="H262" s="383" t="s">
        <v>197</v>
      </c>
      <c r="I262" s="384"/>
      <c r="J262" s="384"/>
      <c r="K262" s="385">
        <f>(G262-$G$257)/($G$257)</f>
        <v>0.09819709204868043</v>
      </c>
      <c r="L262" s="386" t="s">
        <v>130</v>
      </c>
      <c r="M262" s="437">
        <f>G262-G257</f>
        <v>762.5189250000003</v>
      </c>
      <c r="N262" s="386" t="s">
        <v>117</v>
      </c>
      <c r="O262" s="76"/>
      <c r="P262" s="12"/>
      <c r="Q262" s="505"/>
    </row>
    <row r="263" spans="1:16" s="17" customFormat="1" ht="22.5" customHeight="1">
      <c r="A263" s="70">
        <v>35</v>
      </c>
      <c r="B263" s="411">
        <v>31686</v>
      </c>
      <c r="C263" s="70" t="s">
        <v>138</v>
      </c>
      <c r="D263" s="70"/>
      <c r="E263" s="71">
        <f t="shared" si="30"/>
        <v>31686</v>
      </c>
      <c r="F263" s="413"/>
      <c r="G263" s="647">
        <f>MAX(G174,G175,G176,G177,G178)</f>
        <v>7765.1884500000015</v>
      </c>
      <c r="H263" s="403" t="s">
        <v>364</v>
      </c>
      <c r="I263" s="260"/>
      <c r="J263" s="260"/>
      <c r="K263" s="415">
        <f>(G263-$G$257)/(B263-$B$257)</f>
        <v>0</v>
      </c>
      <c r="L263" s="417" t="s">
        <v>40</v>
      </c>
      <c r="M263" s="419">
        <f>(G263-$G$234)/(B263-$B$234)</f>
        <v>0.04688240800516461</v>
      </c>
      <c r="N263" s="418">
        <f>K263/K234</f>
        <v>0</v>
      </c>
      <c r="O263" s="418" t="s">
        <v>401</v>
      </c>
      <c r="P263" s="505">
        <f>G263-G257</f>
        <v>0</v>
      </c>
    </row>
    <row r="264" spans="1:17" s="17" customFormat="1" ht="22.5" customHeight="1">
      <c r="A264" s="22">
        <v>36</v>
      </c>
      <c r="B264" s="407">
        <v>31686</v>
      </c>
      <c r="C264" s="36" t="s">
        <v>38</v>
      </c>
      <c r="D264" s="22"/>
      <c r="E264" s="34">
        <f t="shared" si="30"/>
        <v>31686</v>
      </c>
      <c r="F264" s="26"/>
      <c r="G264" s="647">
        <f>MAX(G179,G180,G181,G182,G183)</f>
        <v>7256.842500000002</v>
      </c>
      <c r="H264" s="65" t="s">
        <v>201</v>
      </c>
      <c r="I264" s="15"/>
      <c r="J264" s="15"/>
      <c r="K264" s="95">
        <f>(G263-G264)/(G263)</f>
        <v>0.06546472803245358</v>
      </c>
      <c r="L264" s="90" t="s">
        <v>105</v>
      </c>
      <c r="M264" s="77">
        <f>G263-G264</f>
        <v>508.3459499999999</v>
      </c>
      <c r="N264" s="68" t="s">
        <v>118</v>
      </c>
      <c r="O264" s="76"/>
      <c r="P264" s="12"/>
      <c r="Q264" s="505"/>
    </row>
    <row r="265" spans="1:17" s="17" customFormat="1" ht="22.5" customHeight="1">
      <c r="A265" s="445">
        <v>37</v>
      </c>
      <c r="B265" s="452">
        <v>31686</v>
      </c>
      <c r="C265" s="445" t="s">
        <v>38</v>
      </c>
      <c r="D265" s="445" t="s">
        <v>417</v>
      </c>
      <c r="E265" s="446">
        <f>B265</f>
        <v>31686</v>
      </c>
      <c r="F265" s="451"/>
      <c r="G265" s="647">
        <f>MAX(G184,G185,G186,G187,G188)</f>
        <v>7511.015475000003</v>
      </c>
      <c r="H265" s="454" t="s">
        <v>296</v>
      </c>
      <c r="I265" s="458"/>
      <c r="J265" s="458"/>
      <c r="K265" s="455">
        <f>(G263-G265)/(G263)</f>
        <v>0.03273236401622662</v>
      </c>
      <c r="L265" s="459" t="s">
        <v>220</v>
      </c>
      <c r="M265" s="460">
        <f>G263-G265</f>
        <v>254.1729749999986</v>
      </c>
      <c r="N265" s="461" t="s">
        <v>220</v>
      </c>
      <c r="O265" s="76"/>
      <c r="P265" s="12"/>
      <c r="Q265" s="505"/>
    </row>
    <row r="266" spans="1:17" s="17" customFormat="1" ht="22.5" customHeight="1">
      <c r="A266" s="39">
        <v>38</v>
      </c>
      <c r="B266" s="362">
        <v>31686</v>
      </c>
      <c r="C266" s="638" t="s">
        <v>91</v>
      </c>
      <c r="D266" s="39"/>
      <c r="E266" s="51">
        <f t="shared" si="30"/>
        <v>31686</v>
      </c>
      <c r="F266" s="363"/>
      <c r="G266" s="647">
        <f>MAX(G189,G190,G191,G192,G193)</f>
        <v>8019.361425000003</v>
      </c>
      <c r="H266" s="72" t="s">
        <v>125</v>
      </c>
      <c r="I266" s="74"/>
      <c r="J266" s="74"/>
      <c r="K266" s="97">
        <f>(G266-$G$263)/($G$263)</f>
        <v>0.03273236401622697</v>
      </c>
      <c r="L266" s="64" t="s">
        <v>132</v>
      </c>
      <c r="M266" s="99">
        <f>G266-G263</f>
        <v>254.17297500000132</v>
      </c>
      <c r="N266" s="427" t="s">
        <v>117</v>
      </c>
      <c r="O266" s="76"/>
      <c r="P266" s="12"/>
      <c r="Q266" s="505"/>
    </row>
    <row r="267" spans="1:17" s="17" customFormat="1" ht="22.5" customHeight="1">
      <c r="A267" s="367">
        <v>39</v>
      </c>
      <c r="B267" s="366">
        <v>31686</v>
      </c>
      <c r="C267" s="639" t="s">
        <v>350</v>
      </c>
      <c r="D267" s="367"/>
      <c r="E267" s="365">
        <f t="shared" si="30"/>
        <v>31686</v>
      </c>
      <c r="F267" s="368"/>
      <c r="G267" s="647">
        <f>MAX(G194,G195,G196,G197,G198)</f>
        <v>8273.534400000004</v>
      </c>
      <c r="H267" s="371" t="s">
        <v>197</v>
      </c>
      <c r="I267" s="376"/>
      <c r="J267" s="376"/>
      <c r="K267" s="372">
        <f>(G267-G263)/(G263)</f>
        <v>0.06546472803245394</v>
      </c>
      <c r="L267" s="377" t="s">
        <v>129</v>
      </c>
      <c r="M267" s="369">
        <f>G267-G263</f>
        <v>508.34595000000263</v>
      </c>
      <c r="N267" s="373" t="s">
        <v>23</v>
      </c>
      <c r="O267" s="76"/>
      <c r="P267" s="12"/>
      <c r="Q267" s="505"/>
    </row>
    <row r="268" spans="1:16" s="17" customFormat="1" ht="22.5" customHeight="1">
      <c r="A268" s="70">
        <v>40</v>
      </c>
      <c r="B268" s="411">
        <v>53328</v>
      </c>
      <c r="C268" s="70" t="s">
        <v>138</v>
      </c>
      <c r="D268" s="70"/>
      <c r="E268" s="71">
        <f t="shared" si="30"/>
        <v>53328</v>
      </c>
      <c r="F268" s="413"/>
      <c r="G268" s="647">
        <f>MAX(G199,G200,G201,G202,G203)</f>
        <v>7765.1884500000015</v>
      </c>
      <c r="H268" s="403" t="s">
        <v>364</v>
      </c>
      <c r="I268" s="260"/>
      <c r="J268" s="260"/>
      <c r="K268" s="415">
        <f>(G268-$G$263)/(B268-$B$263)</f>
        <v>0</v>
      </c>
      <c r="L268" s="417" t="s">
        <v>40</v>
      </c>
      <c r="M268" s="444">
        <f>(G268-$G$234)/(B268-$B$234)</f>
        <v>0.023465008770310186</v>
      </c>
      <c r="N268" s="418">
        <f>K268/K234</f>
        <v>0</v>
      </c>
      <c r="O268" s="418" t="s">
        <v>401</v>
      </c>
      <c r="P268" s="505">
        <f>G268-G263</f>
        <v>0</v>
      </c>
    </row>
    <row r="269" spans="1:17" s="17" customFormat="1" ht="22.5" customHeight="1">
      <c r="A269" s="22">
        <v>41</v>
      </c>
      <c r="B269" s="407">
        <v>53328</v>
      </c>
      <c r="C269" s="36" t="s">
        <v>38</v>
      </c>
      <c r="D269" s="22"/>
      <c r="E269" s="34">
        <f t="shared" si="30"/>
        <v>53328</v>
      </c>
      <c r="F269" s="26"/>
      <c r="G269" s="647">
        <f>MAX(G204,G205,G206,G207,G208)</f>
        <v>7256.842500000002</v>
      </c>
      <c r="H269" s="65" t="s">
        <v>405</v>
      </c>
      <c r="I269" s="66"/>
      <c r="J269" s="66"/>
      <c r="K269" s="92">
        <f>(G268-G269)/(G268)</f>
        <v>0.06546472803245358</v>
      </c>
      <c r="L269" s="67" t="s">
        <v>105</v>
      </c>
      <c r="M269" s="77">
        <f>G268-G269</f>
        <v>508.3459499999999</v>
      </c>
      <c r="N269" s="68" t="s">
        <v>118</v>
      </c>
      <c r="O269" s="76"/>
      <c r="P269" s="12"/>
      <c r="Q269" s="505"/>
    </row>
    <row r="270" spans="1:17" s="17" customFormat="1" ht="22.5" customHeight="1">
      <c r="A270" s="445">
        <v>42</v>
      </c>
      <c r="B270" s="452">
        <v>53328</v>
      </c>
      <c r="C270" s="445" t="s">
        <v>38</v>
      </c>
      <c r="D270" s="445" t="s">
        <v>417</v>
      </c>
      <c r="E270" s="446">
        <f>B270</f>
        <v>53328</v>
      </c>
      <c r="F270" s="451"/>
      <c r="G270" s="647">
        <f>MAX(G209,G210,G211,G212,G213)</f>
        <v>7511.015475000003</v>
      </c>
      <c r="H270" s="454" t="s">
        <v>219</v>
      </c>
      <c r="I270" s="451"/>
      <c r="J270" s="451"/>
      <c r="K270" s="462">
        <f>(G268-G270)/(G268)</f>
        <v>0.03273236401622662</v>
      </c>
      <c r="L270" s="457" t="s">
        <v>220</v>
      </c>
      <c r="M270" s="449">
        <f>G268-G270</f>
        <v>254.1729749999986</v>
      </c>
      <c r="N270" s="456" t="s">
        <v>220</v>
      </c>
      <c r="O270" s="76"/>
      <c r="P270" s="12"/>
      <c r="Q270" s="505"/>
    </row>
    <row r="271" spans="1:17" s="17" customFormat="1" ht="22.5" customHeight="1">
      <c r="A271" s="39">
        <v>43</v>
      </c>
      <c r="B271" s="362">
        <v>53328</v>
      </c>
      <c r="C271" s="638" t="s">
        <v>171</v>
      </c>
      <c r="D271" s="39"/>
      <c r="E271" s="51">
        <f t="shared" si="30"/>
        <v>53328</v>
      </c>
      <c r="F271" s="363"/>
      <c r="G271" s="647">
        <f>MAX(G214,G215,G216,G217,G218)</f>
        <v>8019.361425000003</v>
      </c>
      <c r="H271" s="72" t="s">
        <v>223</v>
      </c>
      <c r="I271" s="63"/>
      <c r="J271" s="63"/>
      <c r="K271" s="93">
        <f>(G271-G268)/(G268)</f>
        <v>0.03273236401622697</v>
      </c>
      <c r="L271" s="64" t="s">
        <v>173</v>
      </c>
      <c r="M271" s="99">
        <f>G271-G268</f>
        <v>254.17297500000132</v>
      </c>
      <c r="N271" s="427" t="s">
        <v>117</v>
      </c>
      <c r="O271" s="76"/>
      <c r="P271" s="12"/>
      <c r="Q271" s="505"/>
    </row>
    <row r="272" spans="1:17" s="17" customFormat="1" ht="22.5" customHeight="1">
      <c r="A272" s="367">
        <v>44</v>
      </c>
      <c r="B272" s="366">
        <v>53328</v>
      </c>
      <c r="C272" s="639" t="s">
        <v>46</v>
      </c>
      <c r="D272" s="367"/>
      <c r="E272" s="365">
        <f t="shared" si="30"/>
        <v>53328</v>
      </c>
      <c r="F272" s="368"/>
      <c r="G272" s="647">
        <f>MAX(G219,G220,G221,G222,G223)</f>
        <v>8273.534400000004</v>
      </c>
      <c r="H272" s="371" t="s">
        <v>355</v>
      </c>
      <c r="I272" s="368"/>
      <c r="J272" s="368"/>
      <c r="K272" s="372">
        <f>(G272-G268)/(G268)</f>
        <v>0.06546472803245394</v>
      </c>
      <c r="L272" s="375" t="s">
        <v>23</v>
      </c>
      <c r="M272" s="369">
        <f>G272-G268</f>
        <v>508.34595000000263</v>
      </c>
      <c r="N272" s="373" t="s">
        <v>23</v>
      </c>
      <c r="O272" s="76"/>
      <c r="P272" s="12"/>
      <c r="Q272" s="505"/>
    </row>
    <row r="275" ht="22.5" customHeight="1">
      <c r="C275" s="61"/>
    </row>
    <row r="276" ht="22.5" customHeight="1">
      <c r="C276" s="61"/>
    </row>
    <row r="277" spans="2:13" ht="22.5" customHeight="1">
      <c r="B277" s="50"/>
      <c r="C277" s="34"/>
      <c r="D277" s="24"/>
      <c r="E277" s="24"/>
      <c r="F277" s="20"/>
      <c r="G277" s="513"/>
      <c r="H277" s="47"/>
      <c r="I277" s="19"/>
      <c r="J277" s="19"/>
      <c r="K277" s="21"/>
      <c r="L277" s="21"/>
      <c r="M277" s="21"/>
    </row>
    <row r="278" spans="2:13" ht="22.5" customHeight="1">
      <c r="B278" s="56"/>
      <c r="C278" s="34"/>
      <c r="D278" s="24"/>
      <c r="E278" s="24"/>
      <c r="F278" s="20"/>
      <c r="G278" s="513"/>
      <c r="H278" s="46"/>
      <c r="I278" s="19"/>
      <c r="J278" s="19"/>
      <c r="K278" s="21"/>
      <c r="L278" s="21"/>
      <c r="M278" s="21"/>
    </row>
    <row r="279" spans="2:13" ht="22.5" customHeight="1">
      <c r="B279" s="50"/>
      <c r="C279" s="34"/>
      <c r="D279" s="24"/>
      <c r="E279" s="24"/>
      <c r="F279" s="20"/>
      <c r="G279" s="513"/>
      <c r="H279" s="47"/>
      <c r="I279" s="19"/>
      <c r="J279" s="19"/>
      <c r="K279" s="21"/>
      <c r="L279" s="21"/>
      <c r="M279" s="21"/>
    </row>
    <row r="280" spans="2:13" ht="22.5" customHeight="1">
      <c r="B280" s="50"/>
      <c r="C280" s="34"/>
      <c r="D280" s="24"/>
      <c r="E280" s="24"/>
      <c r="G280" s="513"/>
      <c r="H280" s="47"/>
      <c r="I280" s="19"/>
      <c r="J280" s="19"/>
      <c r="K280" s="21"/>
      <c r="L280" s="21"/>
      <c r="M280" s="21"/>
    </row>
    <row r="281" spans="2:13" ht="22.5" customHeight="1">
      <c r="B281" s="50"/>
      <c r="C281" s="34"/>
      <c r="D281" s="24"/>
      <c r="E281" s="24"/>
      <c r="G281" s="513"/>
      <c r="H281" s="47"/>
      <c r="I281" s="19"/>
      <c r="J281" s="19"/>
      <c r="K281" s="21"/>
      <c r="L281" s="21"/>
      <c r="M281" s="21"/>
    </row>
    <row r="282" spans="2:13" ht="22.5" customHeight="1">
      <c r="B282" s="50"/>
      <c r="C282" s="34"/>
      <c r="D282" s="24"/>
      <c r="E282" s="24"/>
      <c r="G282" s="513"/>
      <c r="H282" s="47"/>
      <c r="I282" s="19"/>
      <c r="J282" s="19"/>
      <c r="K282" s="21"/>
      <c r="L282" s="21"/>
      <c r="M282" s="21"/>
    </row>
    <row r="283" spans="1:13" ht="22.5" customHeight="1">
      <c r="A283" s="36"/>
      <c r="B283" s="35"/>
      <c r="C283" s="34"/>
      <c r="D283" s="24"/>
      <c r="E283" s="24"/>
      <c r="G283" s="513"/>
      <c r="H283" s="47"/>
      <c r="I283" s="19"/>
      <c r="J283" s="19"/>
      <c r="K283" s="21"/>
      <c r="L283" s="21"/>
      <c r="M283" s="21"/>
    </row>
    <row r="284" spans="2:13" ht="22.5" customHeight="1">
      <c r="B284" s="50"/>
      <c r="C284" s="34"/>
      <c r="D284" s="24"/>
      <c r="E284" s="24"/>
      <c r="G284" s="513"/>
      <c r="H284" s="47"/>
      <c r="I284" s="19"/>
      <c r="J284" s="19"/>
      <c r="K284" s="21"/>
      <c r="L284" s="21"/>
      <c r="M284" s="21"/>
    </row>
    <row r="285" spans="2:13" ht="22.5" customHeight="1">
      <c r="B285" s="50"/>
      <c r="C285" s="34"/>
      <c r="D285" s="24"/>
      <c r="E285" s="24"/>
      <c r="F285" s="20"/>
      <c r="G285" s="513"/>
      <c r="H285" s="47"/>
      <c r="I285" s="19"/>
      <c r="J285" s="19"/>
      <c r="K285" s="21"/>
      <c r="L285" s="21"/>
      <c r="M285" s="21"/>
    </row>
    <row r="286" spans="2:13" ht="22.5" customHeight="1">
      <c r="B286" s="50"/>
      <c r="C286" s="34"/>
      <c r="D286" s="24"/>
      <c r="E286" s="24"/>
      <c r="F286" s="20"/>
      <c r="G286" s="513"/>
      <c r="H286" s="47"/>
      <c r="I286" s="19"/>
      <c r="J286" s="19"/>
      <c r="K286" s="21"/>
      <c r="L286" s="21"/>
      <c r="M286" s="21"/>
    </row>
    <row r="287" spans="2:13" ht="22.5" customHeight="1">
      <c r="B287" s="50"/>
      <c r="C287" s="34"/>
      <c r="D287" s="24"/>
      <c r="E287" s="24"/>
      <c r="F287" s="20"/>
      <c r="G287" s="513"/>
      <c r="H287" s="47"/>
      <c r="I287" s="19"/>
      <c r="J287" s="19"/>
      <c r="K287" s="21"/>
      <c r="L287" s="21"/>
      <c r="M287" s="21"/>
    </row>
    <row r="288" spans="2:13" ht="22.5" customHeight="1">
      <c r="B288" s="50"/>
      <c r="C288" s="22"/>
      <c r="D288" s="24"/>
      <c r="E288" s="24"/>
      <c r="G288" s="513"/>
      <c r="H288" s="47"/>
      <c r="I288" s="19"/>
      <c r="J288" s="19"/>
      <c r="K288" s="21"/>
      <c r="L288" s="21"/>
      <c r="M288" s="21"/>
    </row>
    <row r="289" spans="3:8" ht="22.5" customHeight="1">
      <c r="C289" s="22"/>
      <c r="D289" s="24"/>
      <c r="E289" s="24"/>
      <c r="G289" s="514"/>
      <c r="H289" s="47"/>
    </row>
    <row r="290" spans="3:8" ht="22.5" customHeight="1">
      <c r="C290" s="22"/>
      <c r="D290" s="24"/>
      <c r="E290" s="24"/>
      <c r="G290" s="514"/>
      <c r="H290" s="47"/>
    </row>
    <row r="291" spans="1:17" s="15" customFormat="1" ht="22.5" customHeight="1">
      <c r="A291" s="22"/>
      <c r="B291" s="12"/>
      <c r="C291" s="22"/>
      <c r="D291" s="24"/>
      <c r="E291" s="24"/>
      <c r="F291" s="26"/>
      <c r="G291" s="514"/>
      <c r="H291" s="47"/>
      <c r="I291" s="510"/>
      <c r="J291" s="510"/>
      <c r="K291" s="12"/>
      <c r="L291" s="27"/>
      <c r="M291" s="12"/>
      <c r="N291" s="12"/>
      <c r="O291" s="12"/>
      <c r="P291" s="12"/>
      <c r="Q291" s="505"/>
    </row>
    <row r="292" spans="1:17" s="15" customFormat="1" ht="22.5" customHeight="1">
      <c r="A292" s="22"/>
      <c r="B292" s="12"/>
      <c r="C292" s="22"/>
      <c r="D292" s="24"/>
      <c r="E292" s="24"/>
      <c r="F292" s="26"/>
      <c r="G292" s="514"/>
      <c r="H292" s="47"/>
      <c r="I292" s="510"/>
      <c r="J292" s="510"/>
      <c r="K292" s="12"/>
      <c r="L292" s="27"/>
      <c r="M292" s="12"/>
      <c r="N292" s="12"/>
      <c r="O292" s="12"/>
      <c r="P292" s="12"/>
      <c r="Q292" s="505"/>
    </row>
    <row r="293" spans="1:17" s="15" customFormat="1" ht="22.5" customHeight="1">
      <c r="A293" s="22"/>
      <c r="B293" s="50"/>
      <c r="C293" s="22"/>
      <c r="D293" s="24"/>
      <c r="E293" s="24"/>
      <c r="F293" s="26"/>
      <c r="G293" s="514"/>
      <c r="H293" s="47"/>
      <c r="I293" s="510"/>
      <c r="J293" s="510"/>
      <c r="K293" s="12"/>
      <c r="L293" s="27"/>
      <c r="M293" s="12"/>
      <c r="N293" s="12"/>
      <c r="O293" s="12"/>
      <c r="P293" s="12"/>
      <c r="Q293" s="505"/>
    </row>
    <row r="294" spans="1:17" s="15" customFormat="1" ht="22.5" customHeight="1">
      <c r="A294" s="22"/>
      <c r="B294" s="12"/>
      <c r="C294" s="22"/>
      <c r="D294" s="12"/>
      <c r="E294" s="12"/>
      <c r="F294" s="26"/>
      <c r="G294" s="510"/>
      <c r="H294" s="12"/>
      <c r="I294" s="510"/>
      <c r="J294" s="510"/>
      <c r="K294" s="12"/>
      <c r="L294" s="27"/>
      <c r="M294" s="12"/>
      <c r="N294" s="12"/>
      <c r="O294" s="12"/>
      <c r="P294" s="12"/>
      <c r="Q294" s="505"/>
    </row>
    <row r="295" spans="1:17" s="15" customFormat="1" ht="22.5" customHeight="1">
      <c r="A295" s="22"/>
      <c r="B295" s="12"/>
      <c r="C295" s="22"/>
      <c r="D295" s="12"/>
      <c r="E295" s="12"/>
      <c r="F295" s="26"/>
      <c r="G295" s="510"/>
      <c r="H295" s="12"/>
      <c r="I295" s="510"/>
      <c r="J295" s="510"/>
      <c r="K295" s="12"/>
      <c r="L295" s="27"/>
      <c r="M295" s="12"/>
      <c r="N295" s="12"/>
      <c r="O295" s="12"/>
      <c r="P295" s="12"/>
      <c r="Q295" s="505"/>
    </row>
    <row r="296" spans="1:17" s="15" customFormat="1" ht="22.5" customHeight="1">
      <c r="A296" s="22"/>
      <c r="B296" s="12"/>
      <c r="C296" s="22"/>
      <c r="D296" s="12"/>
      <c r="E296" s="12"/>
      <c r="F296" s="26"/>
      <c r="G296" s="510"/>
      <c r="H296" s="12"/>
      <c r="I296" s="510"/>
      <c r="J296" s="510"/>
      <c r="K296" s="12"/>
      <c r="L296" s="27"/>
      <c r="M296" s="12"/>
      <c r="N296" s="12"/>
      <c r="O296" s="12"/>
      <c r="P296" s="12"/>
      <c r="Q296" s="505"/>
    </row>
    <row r="297" spans="1:17" s="15" customFormat="1" ht="22.5" customHeight="1">
      <c r="A297" s="22"/>
      <c r="B297" s="12"/>
      <c r="C297" s="22"/>
      <c r="D297" s="12"/>
      <c r="E297" s="12"/>
      <c r="F297" s="26"/>
      <c r="G297" s="510"/>
      <c r="H297" s="12"/>
      <c r="I297" s="510"/>
      <c r="J297" s="510"/>
      <c r="K297" s="12"/>
      <c r="L297" s="27"/>
      <c r="M297" s="12"/>
      <c r="N297" s="12"/>
      <c r="O297" s="12"/>
      <c r="P297" s="12"/>
      <c r="Q297" s="505"/>
    </row>
    <row r="298" spans="1:17" s="15" customFormat="1" ht="22.5" customHeight="1">
      <c r="A298" s="22"/>
      <c r="B298" s="50"/>
      <c r="C298" s="22"/>
      <c r="D298" s="12"/>
      <c r="E298" s="12"/>
      <c r="F298" s="26"/>
      <c r="G298" s="510"/>
      <c r="H298" s="12"/>
      <c r="I298" s="510"/>
      <c r="J298" s="510"/>
      <c r="K298" s="12"/>
      <c r="L298" s="27"/>
      <c r="M298" s="12"/>
      <c r="N298" s="12"/>
      <c r="O298" s="12"/>
      <c r="P298" s="12"/>
      <c r="Q298" s="505"/>
    </row>
    <row r="299" spans="1:17" s="15" customFormat="1" ht="22.5" customHeight="1">
      <c r="A299" s="22"/>
      <c r="B299" s="12"/>
      <c r="C299" s="22"/>
      <c r="D299" s="12"/>
      <c r="E299" s="12"/>
      <c r="F299" s="26"/>
      <c r="G299" s="510"/>
      <c r="H299" s="12"/>
      <c r="I299" s="510"/>
      <c r="J299" s="510"/>
      <c r="K299" s="12"/>
      <c r="L299" s="27"/>
      <c r="M299" s="12"/>
      <c r="N299" s="12"/>
      <c r="O299" s="12"/>
      <c r="P299" s="12"/>
      <c r="Q299" s="505"/>
    </row>
    <row r="300" spans="1:17" s="15" customFormat="1" ht="22.5" customHeight="1">
      <c r="A300" s="22"/>
      <c r="B300" s="12"/>
      <c r="C300" s="22"/>
      <c r="D300" s="12"/>
      <c r="E300" s="12"/>
      <c r="F300" s="26"/>
      <c r="G300" s="510"/>
      <c r="H300" s="12"/>
      <c r="I300" s="510"/>
      <c r="J300" s="510"/>
      <c r="K300" s="12"/>
      <c r="L300" s="27"/>
      <c r="M300" s="12"/>
      <c r="N300" s="12"/>
      <c r="O300" s="12"/>
      <c r="P300" s="12"/>
      <c r="Q300" s="505"/>
    </row>
    <row r="301" spans="1:17" s="15" customFormat="1" ht="22.5" customHeight="1">
      <c r="A301" s="22"/>
      <c r="B301" s="12"/>
      <c r="C301" s="22"/>
      <c r="D301" s="12"/>
      <c r="E301" s="12"/>
      <c r="F301" s="26"/>
      <c r="G301" s="510"/>
      <c r="H301" s="12"/>
      <c r="I301" s="510"/>
      <c r="J301" s="510"/>
      <c r="K301" s="12"/>
      <c r="L301" s="27"/>
      <c r="M301" s="12"/>
      <c r="N301" s="12"/>
      <c r="O301" s="12"/>
      <c r="P301" s="12"/>
      <c r="Q301" s="505"/>
    </row>
    <row r="302" spans="1:17" s="15" customFormat="1" ht="22.5" customHeight="1">
      <c r="A302" s="22"/>
      <c r="B302" s="50"/>
      <c r="C302" s="22"/>
      <c r="D302" s="12"/>
      <c r="E302" s="12"/>
      <c r="F302" s="26"/>
      <c r="G302" s="510"/>
      <c r="H302" s="12"/>
      <c r="I302" s="510"/>
      <c r="J302" s="510"/>
      <c r="K302" s="12"/>
      <c r="L302" s="27"/>
      <c r="M302" s="12"/>
      <c r="N302" s="12"/>
      <c r="O302" s="12"/>
      <c r="P302" s="12"/>
      <c r="Q302" s="505"/>
    </row>
    <row r="303" spans="1:17" s="15" customFormat="1" ht="22.5" customHeight="1">
      <c r="A303" s="22"/>
      <c r="B303" s="12"/>
      <c r="C303" s="22"/>
      <c r="D303" s="12"/>
      <c r="E303" s="12"/>
      <c r="F303" s="26"/>
      <c r="G303" s="510"/>
      <c r="H303" s="12"/>
      <c r="I303" s="510"/>
      <c r="J303" s="510"/>
      <c r="K303" s="12"/>
      <c r="L303" s="27"/>
      <c r="M303" s="12"/>
      <c r="N303" s="12"/>
      <c r="O303" s="12"/>
      <c r="P303" s="12"/>
      <c r="Q303" s="505"/>
    </row>
  </sheetData>
  <printOptions gridLines="1" horizontalCentered="1"/>
  <pageMargins left="0.5" right="0.5" top="1" bottom="0.5" header="0.5" footer="0.5"/>
  <pageSetup orientation="landscape" pageOrder="overThenDown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zoomScale="150" zoomScaleNormal="150" workbookViewId="0" topLeftCell="A1">
      <pane ySplit="4" topLeftCell="BM5" activePane="bottomLeft" state="frozen"/>
      <selection pane="topLeft" activeCell="A1" sqref="A1"/>
      <selection pane="bottomLeft" activeCell="A1" sqref="A1:A3"/>
    </sheetView>
  </sheetViews>
  <sheetFormatPr defaultColWidth="8.8515625" defaultRowHeight="22.5" customHeight="1"/>
  <cols>
    <col min="1" max="1" width="8.7109375" style="22" customWidth="1"/>
    <col min="2" max="2" width="9.8515625" style="12" customWidth="1"/>
    <col min="3" max="3" width="8.7109375" style="12" customWidth="1"/>
    <col min="4" max="4" width="0.9921875" style="12" customWidth="1"/>
    <col min="5" max="5" width="10.00390625" style="12" customWidth="1"/>
    <col min="6" max="6" width="0.42578125" style="26" customWidth="1"/>
    <col min="7" max="7" width="9.421875" style="648" customWidth="1"/>
    <col min="8" max="8" width="12.00390625" style="12" customWidth="1"/>
    <col min="9" max="9" width="12.421875" style="648" customWidth="1"/>
    <col min="10" max="10" width="8.28125" style="648" customWidth="1"/>
    <col min="11" max="11" width="9.8515625" style="12" bestFit="1" customWidth="1"/>
    <col min="12" max="12" width="7.421875" style="27" customWidth="1"/>
    <col min="13" max="13" width="7.7109375" style="12" customWidth="1"/>
    <col min="14" max="14" width="11.7109375" style="12" customWidth="1"/>
    <col min="15" max="15" width="1.421875" style="12" customWidth="1"/>
    <col min="16" max="16" width="12.00390625" style="12" customWidth="1"/>
    <col min="17" max="17" width="11.7109375" style="505" customWidth="1"/>
    <col min="18" max="16384" width="8.8515625" style="12" customWidth="1"/>
  </cols>
  <sheetData>
    <row r="1" spans="1:14" s="505" customFormat="1" ht="22.5" customHeight="1">
      <c r="A1" s="25"/>
      <c r="B1" s="37"/>
      <c r="C1" s="60"/>
      <c r="D1" s="59"/>
      <c r="E1" s="59"/>
      <c r="F1" s="650"/>
      <c r="G1" s="649"/>
      <c r="H1" s="649"/>
      <c r="I1" s="649"/>
      <c r="J1" s="649"/>
      <c r="K1" s="21"/>
      <c r="L1" s="21"/>
      <c r="M1" s="21"/>
      <c r="N1" s="649"/>
    </row>
    <row r="3" spans="1:16" s="505" customFormat="1" ht="22.5" customHeight="1">
      <c r="A3" s="22"/>
      <c r="B3" s="12"/>
      <c r="C3" s="12"/>
      <c r="D3" s="12"/>
      <c r="E3" s="12"/>
      <c r="F3" s="26"/>
      <c r="G3" s="648"/>
      <c r="H3" s="12"/>
      <c r="I3" s="648"/>
      <c r="J3" s="648"/>
      <c r="K3" s="12"/>
      <c r="L3" s="27"/>
      <c r="M3" s="12"/>
      <c r="N3" s="12"/>
      <c r="O3" s="12"/>
      <c r="P3" s="12"/>
    </row>
    <row r="4" spans="1:16" s="505" customFormat="1" ht="22.5" customHeight="1">
      <c r="A4" s="61" t="s">
        <v>83</v>
      </c>
      <c r="B4" s="22" t="s">
        <v>188</v>
      </c>
      <c r="C4" s="12"/>
      <c r="D4" s="12"/>
      <c r="E4" s="12"/>
      <c r="F4" s="26"/>
      <c r="G4" s="650" t="s">
        <v>33</v>
      </c>
      <c r="H4" s="12"/>
      <c r="I4" s="648"/>
      <c r="J4" s="648"/>
      <c r="K4" s="12"/>
      <c r="L4" s="27"/>
      <c r="M4" s="17"/>
      <c r="N4" s="17"/>
      <c r="O4" s="12"/>
      <c r="P4" s="12"/>
    </row>
    <row r="5" spans="1:15" s="505" customFormat="1" ht="22.5" customHeight="1">
      <c r="A5" s="410">
        <v>1</v>
      </c>
      <c r="B5" s="411">
        <v>7116</v>
      </c>
      <c r="C5" s="412" t="s">
        <v>312</v>
      </c>
      <c r="D5" s="70"/>
      <c r="E5" s="71">
        <f aca="true" t="shared" si="0" ref="E5:E48">B5</f>
        <v>7116</v>
      </c>
      <c r="F5" s="413"/>
      <c r="G5" s="668">
        <f>'By-Lot'!G229</f>
        <v>6494.323575000001</v>
      </c>
      <c r="H5" s="676" t="s">
        <v>15</v>
      </c>
      <c r="I5" s="413"/>
      <c r="J5" s="260"/>
      <c r="K5" s="415">
        <f>G5/B5</f>
        <v>0.9126368149241149</v>
      </c>
      <c r="L5" s="416"/>
      <c r="M5" s="660"/>
      <c r="N5" s="257"/>
      <c r="O5" s="12"/>
    </row>
    <row r="6" spans="1:16" s="505" customFormat="1" ht="22.5" customHeight="1">
      <c r="A6" s="517">
        <v>2</v>
      </c>
      <c r="B6" s="518">
        <v>7116</v>
      </c>
      <c r="C6" s="519" t="s">
        <v>308</v>
      </c>
      <c r="D6" s="498"/>
      <c r="E6" s="499">
        <f t="shared" si="0"/>
        <v>7116</v>
      </c>
      <c r="F6" s="520"/>
      <c r="G6" s="669">
        <f>'By-Lot'!G230</f>
        <v>6494.323575000001</v>
      </c>
      <c r="H6" s="677" t="s">
        <v>272</v>
      </c>
      <c r="I6" s="665"/>
      <c r="J6" s="665"/>
      <c r="K6" s="666">
        <f>(G5-G6)/G6</f>
        <v>0</v>
      </c>
      <c r="L6" s="667" t="s">
        <v>220</v>
      </c>
      <c r="M6" s="502">
        <f>G5-G6</f>
        <v>0</v>
      </c>
      <c r="N6" s="667" t="s">
        <v>220</v>
      </c>
      <c r="O6" s="12"/>
      <c r="P6" s="12"/>
    </row>
    <row r="7" spans="1:16" s="505" customFormat="1" ht="22.5" customHeight="1">
      <c r="A7" s="440">
        <v>3</v>
      </c>
      <c r="B7" s="441">
        <v>7116</v>
      </c>
      <c r="C7" s="42" t="s">
        <v>307</v>
      </c>
      <c r="D7" s="22"/>
      <c r="E7" s="55">
        <f>B7</f>
        <v>7116</v>
      </c>
      <c r="F7" s="26"/>
      <c r="G7" s="670">
        <f>'By-Lot'!G231</f>
        <v>5985.977625000001</v>
      </c>
      <c r="H7" s="678" t="s">
        <v>405</v>
      </c>
      <c r="I7" s="66"/>
      <c r="J7" s="66"/>
      <c r="K7" s="95">
        <f>(G5-G7)/G5</f>
        <v>0.07827542685998669</v>
      </c>
      <c r="L7" s="68" t="s">
        <v>118</v>
      </c>
      <c r="M7" s="77">
        <f>G5-G7</f>
        <v>508.3459499999999</v>
      </c>
      <c r="N7" s="68" t="s">
        <v>118</v>
      </c>
      <c r="O7" s="12"/>
      <c r="P7" s="12"/>
    </row>
    <row r="8" spans="1:16" s="505" customFormat="1" ht="22.5" customHeight="1">
      <c r="A8" s="438">
        <v>4</v>
      </c>
      <c r="B8" s="362">
        <v>7116</v>
      </c>
      <c r="C8" s="45" t="s">
        <v>310</v>
      </c>
      <c r="D8" s="39"/>
      <c r="E8" s="51">
        <f t="shared" si="0"/>
        <v>7116</v>
      </c>
      <c r="F8" s="363"/>
      <c r="G8" s="671">
        <f>'By-Lot'!G232</f>
        <v>6748.496550000002</v>
      </c>
      <c r="H8" s="679" t="s">
        <v>223</v>
      </c>
      <c r="I8" s="63"/>
      <c r="J8" s="63"/>
      <c r="K8" s="96">
        <f>(G8-G5)/G5</f>
        <v>0.03913771342999341</v>
      </c>
      <c r="L8" s="73" t="s">
        <v>287</v>
      </c>
      <c r="M8" s="617">
        <f>G8-G5</f>
        <v>254.1729750000004</v>
      </c>
      <c r="N8" s="427" t="s">
        <v>117</v>
      </c>
      <c r="O8" s="12"/>
      <c r="P8" s="12"/>
    </row>
    <row r="9" spans="1:16" s="505" customFormat="1" ht="22.5" customHeight="1">
      <c r="A9" s="439">
        <v>5</v>
      </c>
      <c r="B9" s="366">
        <v>7116</v>
      </c>
      <c r="C9" s="364" t="s">
        <v>311</v>
      </c>
      <c r="D9" s="367"/>
      <c r="E9" s="365">
        <f t="shared" si="0"/>
        <v>7116</v>
      </c>
      <c r="F9" s="368"/>
      <c r="G9" s="672">
        <f>'By-Lot'!G233</f>
        <v>7002.669525000003</v>
      </c>
      <c r="H9" s="680" t="s">
        <v>125</v>
      </c>
      <c r="I9" s="370"/>
      <c r="J9" s="370"/>
      <c r="K9" s="372">
        <f>(G9-G5)/G5</f>
        <v>0.07827542685998698</v>
      </c>
      <c r="L9" s="375" t="s">
        <v>287</v>
      </c>
      <c r="M9" s="369">
        <f>G9-G5</f>
        <v>508.3459500000017</v>
      </c>
      <c r="N9" s="373" t="s">
        <v>23</v>
      </c>
      <c r="O9" s="12"/>
      <c r="P9" s="12"/>
    </row>
    <row r="10" spans="1:15" s="505" customFormat="1" ht="22.5" customHeight="1">
      <c r="A10" s="71">
        <v>6</v>
      </c>
      <c r="B10" s="411">
        <v>10000</v>
      </c>
      <c r="C10" s="412" t="s">
        <v>312</v>
      </c>
      <c r="D10" s="70"/>
      <c r="E10" s="71">
        <f t="shared" si="0"/>
        <v>10000</v>
      </c>
      <c r="F10" s="413"/>
      <c r="G10" s="673">
        <f>'By-Lot'!G234</f>
        <v>6748.496550000002</v>
      </c>
      <c r="H10" s="681" t="s">
        <v>305</v>
      </c>
      <c r="I10" s="413"/>
      <c r="J10" s="260"/>
      <c r="K10" s="442">
        <f>(G10-G5)/(B10-B5)</f>
        <v>0.08813209951456324</v>
      </c>
      <c r="L10" s="417" t="s">
        <v>390</v>
      </c>
      <c r="M10" s="660">
        <f>G10-G5</f>
        <v>254.1729750000004</v>
      </c>
      <c r="N10" s="257" t="s">
        <v>275</v>
      </c>
      <c r="O10" s="587"/>
    </row>
    <row r="11" spans="1:16" s="505" customFormat="1" ht="22.5" customHeight="1">
      <c r="A11" s="360">
        <v>7</v>
      </c>
      <c r="B11" s="429">
        <v>10000</v>
      </c>
      <c r="C11" s="689" t="s">
        <v>274</v>
      </c>
      <c r="D11" s="359"/>
      <c r="E11" s="360">
        <f t="shared" si="0"/>
        <v>10000</v>
      </c>
      <c r="F11" s="431"/>
      <c r="G11" s="674">
        <f>'By-Lot'!G235</f>
        <v>6494.323575000001</v>
      </c>
      <c r="H11" s="682" t="s">
        <v>200</v>
      </c>
      <c r="I11" s="433"/>
      <c r="J11" s="433"/>
      <c r="K11" s="434">
        <f>(G10-G11)/G10</f>
        <v>0.03766364450464161</v>
      </c>
      <c r="L11" s="435" t="s">
        <v>235</v>
      </c>
      <c r="M11" s="91">
        <f>G10-G11</f>
        <v>254.1729750000004</v>
      </c>
      <c r="N11" s="436" t="s">
        <v>235</v>
      </c>
      <c r="O11" s="76"/>
      <c r="P11" s="12"/>
    </row>
    <row r="12" spans="1:16" s="505" customFormat="1" ht="22.5" customHeight="1">
      <c r="A12" s="55">
        <v>8</v>
      </c>
      <c r="B12" s="441">
        <v>10000</v>
      </c>
      <c r="C12" s="42" t="s">
        <v>307</v>
      </c>
      <c r="D12" s="22"/>
      <c r="E12" s="55">
        <f t="shared" si="0"/>
        <v>10000</v>
      </c>
      <c r="F12" s="26"/>
      <c r="G12" s="670">
        <f>'By-Lot'!G236</f>
        <v>6240.150599999999</v>
      </c>
      <c r="H12" s="678" t="s">
        <v>405</v>
      </c>
      <c r="I12" s="66"/>
      <c r="J12" s="66"/>
      <c r="K12" s="95">
        <f>(G10-G12)/G10</f>
        <v>0.07532728900928348</v>
      </c>
      <c r="L12" s="68" t="s">
        <v>118</v>
      </c>
      <c r="M12" s="77">
        <f>G10-G12</f>
        <v>508.34595000000263</v>
      </c>
      <c r="N12" s="68" t="s">
        <v>118</v>
      </c>
      <c r="O12" s="75"/>
      <c r="P12" s="12"/>
    </row>
    <row r="13" spans="1:16" s="505" customFormat="1" ht="22.5" customHeight="1">
      <c r="A13" s="446">
        <v>9</v>
      </c>
      <c r="B13" s="452">
        <v>10000</v>
      </c>
      <c r="C13" s="453" t="s">
        <v>389</v>
      </c>
      <c r="D13" s="445"/>
      <c r="E13" s="446">
        <f>B13</f>
        <v>10000</v>
      </c>
      <c r="F13" s="451"/>
      <c r="G13" s="675">
        <f>'By-Lot'!G237</f>
        <v>6494.323575000001</v>
      </c>
      <c r="H13" s="683" t="s">
        <v>219</v>
      </c>
      <c r="I13" s="451"/>
      <c r="J13" s="451"/>
      <c r="K13" s="455">
        <f>(G10-G13)/G10</f>
        <v>0.03766364450464161</v>
      </c>
      <c r="L13" s="456" t="s">
        <v>220</v>
      </c>
      <c r="M13" s="616">
        <f>G10-G13</f>
        <v>254.1729750000004</v>
      </c>
      <c r="N13" s="456" t="s">
        <v>220</v>
      </c>
      <c r="O13" s="75"/>
      <c r="P13" s="12"/>
    </row>
    <row r="14" spans="1:16" s="505" customFormat="1" ht="22.5" customHeight="1">
      <c r="A14" s="51">
        <v>10</v>
      </c>
      <c r="B14" s="362">
        <v>10000</v>
      </c>
      <c r="C14" s="45" t="s">
        <v>375</v>
      </c>
      <c r="D14" s="39"/>
      <c r="E14" s="51">
        <f t="shared" si="0"/>
        <v>10000</v>
      </c>
      <c r="F14" s="363"/>
      <c r="G14" s="671">
        <f>'By-Lot'!G238</f>
        <v>7002.669525000003</v>
      </c>
      <c r="H14" s="679" t="s">
        <v>223</v>
      </c>
      <c r="I14" s="63"/>
      <c r="J14" s="63"/>
      <c r="K14" s="96">
        <f>(G14-G10)/G10</f>
        <v>0.03766364450464174</v>
      </c>
      <c r="L14" s="73" t="s">
        <v>117</v>
      </c>
      <c r="M14" s="617">
        <f>G14-G10</f>
        <v>254.17297500000132</v>
      </c>
      <c r="N14" s="427" t="s">
        <v>117</v>
      </c>
      <c r="O14" s="76"/>
      <c r="P14" s="12"/>
    </row>
    <row r="15" spans="1:15" ht="22.5" customHeight="1">
      <c r="A15" s="365">
        <v>11</v>
      </c>
      <c r="B15" s="366">
        <v>10000</v>
      </c>
      <c r="C15" s="364" t="s">
        <v>376</v>
      </c>
      <c r="D15" s="367"/>
      <c r="E15" s="365">
        <f t="shared" si="0"/>
        <v>10000</v>
      </c>
      <c r="F15" s="368"/>
      <c r="G15" s="672">
        <f>'By-Lot'!G239</f>
        <v>7256.842500000002</v>
      </c>
      <c r="H15" s="680" t="s">
        <v>125</v>
      </c>
      <c r="I15" s="370"/>
      <c r="J15" s="370"/>
      <c r="K15" s="372">
        <f>(G15-G10)/G10</f>
        <v>0.07532728900928308</v>
      </c>
      <c r="L15" s="373" t="s">
        <v>23</v>
      </c>
      <c r="M15" s="369">
        <f>G15-G10</f>
        <v>508.3459499999999</v>
      </c>
      <c r="N15" s="373" t="s">
        <v>23</v>
      </c>
      <c r="O15" s="75"/>
    </row>
    <row r="16" spans="1:15" ht="22.5" customHeight="1">
      <c r="A16" s="71">
        <v>12</v>
      </c>
      <c r="B16" s="411">
        <v>15000</v>
      </c>
      <c r="C16" s="414" t="s">
        <v>312</v>
      </c>
      <c r="D16" s="70"/>
      <c r="E16" s="71">
        <f t="shared" si="0"/>
        <v>15000</v>
      </c>
      <c r="F16" s="413"/>
      <c r="G16" s="673">
        <f>'By-Lot'!G240</f>
        <v>7155.173310000002</v>
      </c>
      <c r="H16" s="681" t="s">
        <v>299</v>
      </c>
      <c r="I16" s="413"/>
      <c r="J16" s="413"/>
      <c r="K16" s="415">
        <f>(G16-$G$10)/(B16-$B$10)</f>
        <v>0.08133535200000006</v>
      </c>
      <c r="L16" s="417" t="s">
        <v>390</v>
      </c>
      <c r="M16" s="663">
        <f>G16-G10</f>
        <v>406.6767600000003</v>
      </c>
      <c r="N16" s="257" t="s">
        <v>337</v>
      </c>
      <c r="O16" s="232"/>
    </row>
    <row r="17" spans="1:15" ht="22.5" customHeight="1">
      <c r="A17" s="55">
        <v>13</v>
      </c>
      <c r="B17" s="441">
        <v>15000</v>
      </c>
      <c r="C17" s="42" t="s">
        <v>378</v>
      </c>
      <c r="D17" s="36"/>
      <c r="E17" s="55">
        <f t="shared" si="0"/>
        <v>15000</v>
      </c>
      <c r="G17" s="670">
        <f>'By-Lot'!G241</f>
        <v>6646.827360000003</v>
      </c>
      <c r="H17" s="678" t="s">
        <v>405</v>
      </c>
      <c r="I17" s="66"/>
      <c r="J17" s="66"/>
      <c r="K17" s="95">
        <f>(G16-G17)/G16</f>
        <v>0.07104593110128297</v>
      </c>
      <c r="L17" s="67" t="s">
        <v>105</v>
      </c>
      <c r="M17" s="77">
        <f>G16-G17</f>
        <v>508.345949999999</v>
      </c>
      <c r="N17" s="68" t="s">
        <v>118</v>
      </c>
      <c r="O17" s="76"/>
    </row>
    <row r="18" spans="1:15" ht="22.5" customHeight="1">
      <c r="A18" s="446">
        <v>14</v>
      </c>
      <c r="B18" s="452">
        <v>15000</v>
      </c>
      <c r="C18" s="453" t="s">
        <v>380</v>
      </c>
      <c r="D18" s="445"/>
      <c r="E18" s="446">
        <f>B18</f>
        <v>15000</v>
      </c>
      <c r="F18" s="451"/>
      <c r="G18" s="675">
        <f>'By-Lot'!G242</f>
        <v>6901.000335000004</v>
      </c>
      <c r="H18" s="683" t="s">
        <v>219</v>
      </c>
      <c r="I18" s="451"/>
      <c r="J18" s="451"/>
      <c r="K18" s="455">
        <f>(G16-G18)/G16</f>
        <v>0.03552296555064123</v>
      </c>
      <c r="L18" s="457" t="s">
        <v>220</v>
      </c>
      <c r="M18" s="616">
        <f>G16-G18</f>
        <v>254.17297499999768</v>
      </c>
      <c r="N18" s="456" t="s">
        <v>220</v>
      </c>
      <c r="O18" s="76"/>
    </row>
    <row r="19" spans="1:15" ht="22.5" customHeight="1">
      <c r="A19" s="51">
        <v>15</v>
      </c>
      <c r="B19" s="362">
        <v>15000</v>
      </c>
      <c r="C19" s="45" t="s">
        <v>381</v>
      </c>
      <c r="D19" s="39"/>
      <c r="E19" s="51">
        <f t="shared" si="0"/>
        <v>15000</v>
      </c>
      <c r="F19" s="363"/>
      <c r="G19" s="671">
        <f>'By-Lot'!G243</f>
        <v>7409.346285000003</v>
      </c>
      <c r="H19" s="679" t="s">
        <v>223</v>
      </c>
      <c r="I19" s="63"/>
      <c r="J19" s="63"/>
      <c r="K19" s="96">
        <f>(G19-G16)/(G16)</f>
        <v>0.035522965550641744</v>
      </c>
      <c r="L19" s="64" t="s">
        <v>41</v>
      </c>
      <c r="M19" s="617">
        <f>G19-G16</f>
        <v>254.17297500000132</v>
      </c>
      <c r="N19" s="427" t="s">
        <v>117</v>
      </c>
      <c r="O19" s="75"/>
    </row>
    <row r="20" spans="1:15" ht="22.5" customHeight="1">
      <c r="A20" s="365">
        <v>16</v>
      </c>
      <c r="B20" s="366">
        <v>15000</v>
      </c>
      <c r="C20" s="374" t="s">
        <v>383</v>
      </c>
      <c r="D20" s="367"/>
      <c r="E20" s="365">
        <f t="shared" si="0"/>
        <v>15000</v>
      </c>
      <c r="F20" s="368"/>
      <c r="G20" s="672">
        <f>'By-Lot'!G244</f>
        <v>7663.519260000001</v>
      </c>
      <c r="H20" s="680" t="s">
        <v>355</v>
      </c>
      <c r="I20" s="368"/>
      <c r="J20" s="368"/>
      <c r="K20" s="372">
        <f>(G20-G16)/(G16)</f>
        <v>0.07104593110128297</v>
      </c>
      <c r="L20" s="375" t="s">
        <v>23</v>
      </c>
      <c r="M20" s="369">
        <f>G20-G16</f>
        <v>508.345949999999</v>
      </c>
      <c r="N20" s="373" t="s">
        <v>23</v>
      </c>
      <c r="O20" s="75"/>
    </row>
    <row r="21" spans="1:15" ht="22.5" customHeight="1">
      <c r="A21" s="71">
        <v>17</v>
      </c>
      <c r="B21" s="411">
        <v>20000</v>
      </c>
      <c r="C21" s="414" t="s">
        <v>312</v>
      </c>
      <c r="D21" s="70"/>
      <c r="E21" s="71">
        <f t="shared" si="0"/>
        <v>20000</v>
      </c>
      <c r="F21" s="80"/>
      <c r="G21" s="673">
        <f>'By-Lot'!G245</f>
        <v>7511.015475000003</v>
      </c>
      <c r="H21" s="681" t="s">
        <v>387</v>
      </c>
      <c r="I21" s="260"/>
      <c r="J21" s="260"/>
      <c r="K21" s="415">
        <f>(G21-$G$16)/(B21-$B$16)</f>
        <v>0.07116843300000018</v>
      </c>
      <c r="L21" s="417" t="s">
        <v>390</v>
      </c>
      <c r="M21" s="663">
        <f>G21-G16</f>
        <v>355.84216500000093</v>
      </c>
      <c r="N21" s="257" t="s">
        <v>337</v>
      </c>
      <c r="O21" s="232"/>
    </row>
    <row r="22" spans="1:15" ht="22.5" customHeight="1">
      <c r="A22" s="55">
        <v>18</v>
      </c>
      <c r="B22" s="441">
        <v>20000</v>
      </c>
      <c r="C22" s="42" t="s">
        <v>378</v>
      </c>
      <c r="D22" s="22"/>
      <c r="E22" s="55">
        <f t="shared" si="0"/>
        <v>20000</v>
      </c>
      <c r="F22" s="651"/>
      <c r="G22" s="670">
        <f>'By-Lot'!G246</f>
        <v>7002.669525000003</v>
      </c>
      <c r="H22" s="678" t="s">
        <v>406</v>
      </c>
      <c r="I22" s="66"/>
      <c r="J22" s="66"/>
      <c r="K22" s="95">
        <f>(G21-G22)/(G21)</f>
        <v>0.06768005627095312</v>
      </c>
      <c r="L22" s="67" t="s">
        <v>128</v>
      </c>
      <c r="M22" s="77">
        <f>G21-G22</f>
        <v>508.3459499999999</v>
      </c>
      <c r="N22" s="68" t="s">
        <v>118</v>
      </c>
      <c r="O22" s="76"/>
    </row>
    <row r="23" spans="1:15" ht="22.5" customHeight="1">
      <c r="A23" s="446">
        <v>19</v>
      </c>
      <c r="B23" s="452">
        <v>20000</v>
      </c>
      <c r="C23" s="453" t="s">
        <v>380</v>
      </c>
      <c r="D23" s="445"/>
      <c r="E23" s="446">
        <f>B23</f>
        <v>20000</v>
      </c>
      <c r="F23" s="616"/>
      <c r="G23" s="675">
        <f>'By-Lot'!G247</f>
        <v>7256.842500000002</v>
      </c>
      <c r="H23" s="683" t="s">
        <v>219</v>
      </c>
      <c r="I23" s="451"/>
      <c r="J23" s="451"/>
      <c r="K23" s="455">
        <f>(G21-G23)/(G21)</f>
        <v>0.03384002813547674</v>
      </c>
      <c r="L23" s="457" t="s">
        <v>220</v>
      </c>
      <c r="M23" s="616">
        <f>G21-G23</f>
        <v>254.17297500000132</v>
      </c>
      <c r="N23" s="456" t="s">
        <v>220</v>
      </c>
      <c r="O23" s="76"/>
    </row>
    <row r="24" spans="1:15" ht="22.5" customHeight="1">
      <c r="A24" s="39">
        <v>20</v>
      </c>
      <c r="B24" s="362">
        <v>20000</v>
      </c>
      <c r="C24" s="45" t="s">
        <v>381</v>
      </c>
      <c r="D24" s="39"/>
      <c r="E24" s="51">
        <f t="shared" si="0"/>
        <v>20000</v>
      </c>
      <c r="F24" s="617"/>
      <c r="G24" s="671">
        <f>'By-Lot'!G248</f>
        <v>7765.1884500000015</v>
      </c>
      <c r="H24" s="679" t="s">
        <v>223</v>
      </c>
      <c r="I24" s="63"/>
      <c r="J24" s="63"/>
      <c r="K24" s="96">
        <f>(G24-$G$21)/($G$21)</f>
        <v>0.03384002813547638</v>
      </c>
      <c r="L24" s="64" t="s">
        <v>40</v>
      </c>
      <c r="M24" s="617">
        <f>G24-G21</f>
        <v>254.1729749999986</v>
      </c>
      <c r="N24" s="427" t="s">
        <v>117</v>
      </c>
      <c r="O24" s="76"/>
    </row>
    <row r="25" spans="1:15" ht="22.5" customHeight="1">
      <c r="A25" s="367">
        <v>21</v>
      </c>
      <c r="B25" s="366">
        <v>20000</v>
      </c>
      <c r="C25" s="374" t="s">
        <v>383</v>
      </c>
      <c r="D25" s="367"/>
      <c r="E25" s="365">
        <f t="shared" si="0"/>
        <v>20000</v>
      </c>
      <c r="F25" s="369"/>
      <c r="G25" s="672">
        <f>'By-Lot'!G249</f>
        <v>8019.361425000003</v>
      </c>
      <c r="H25" s="680" t="s">
        <v>136</v>
      </c>
      <c r="I25" s="376"/>
      <c r="J25" s="376"/>
      <c r="K25" s="372">
        <f>(G25-$G$21)/($G$21)</f>
        <v>0.06768005627095312</v>
      </c>
      <c r="L25" s="375" t="s">
        <v>222</v>
      </c>
      <c r="M25" s="369">
        <f>G25-G21</f>
        <v>508.3459499999999</v>
      </c>
      <c r="N25" s="373" t="s">
        <v>23</v>
      </c>
      <c r="O25" s="76"/>
    </row>
    <row r="26" spans="1:17" s="17" customFormat="1" ht="22.5" customHeight="1">
      <c r="A26" s="422">
        <v>22</v>
      </c>
      <c r="B26" s="423">
        <v>20000</v>
      </c>
      <c r="C26" s="424" t="s">
        <v>384</v>
      </c>
      <c r="D26" s="422"/>
      <c r="E26" s="425">
        <f t="shared" si="0"/>
        <v>20000</v>
      </c>
      <c r="F26" s="426"/>
      <c r="G26" s="685">
        <f>'By-Lot'!G250</f>
        <v>8273.534400000004</v>
      </c>
      <c r="H26" s="684" t="s">
        <v>197</v>
      </c>
      <c r="I26" s="384"/>
      <c r="J26" s="384"/>
      <c r="K26" s="385">
        <f>(G26-$G$21)/($G$21)</f>
        <v>0.10152008440642987</v>
      </c>
      <c r="L26" s="386" t="s">
        <v>117</v>
      </c>
      <c r="M26" s="437">
        <f>G26-G21</f>
        <v>762.5189250000012</v>
      </c>
      <c r="N26" s="386" t="s">
        <v>117</v>
      </c>
      <c r="O26" s="76"/>
      <c r="P26" s="12"/>
      <c r="Q26" s="505"/>
    </row>
    <row r="27" spans="1:15" s="17" customFormat="1" ht="22.5" customHeight="1">
      <c r="A27" s="70">
        <v>23</v>
      </c>
      <c r="B27" s="411">
        <v>25000</v>
      </c>
      <c r="C27" s="414" t="s">
        <v>385</v>
      </c>
      <c r="D27" s="70"/>
      <c r="E27" s="71">
        <f t="shared" si="0"/>
        <v>25000</v>
      </c>
      <c r="F27" s="413"/>
      <c r="G27" s="673">
        <f>'By-Lot'!G251</f>
        <v>7663.519260000001</v>
      </c>
      <c r="H27" s="681" t="s">
        <v>388</v>
      </c>
      <c r="I27" s="260"/>
      <c r="J27" s="260"/>
      <c r="K27" s="415">
        <f>(G27-$G$21)/(B27-$B$21)</f>
        <v>0.03050075699999961</v>
      </c>
      <c r="L27" s="417" t="s">
        <v>390</v>
      </c>
      <c r="M27" s="663">
        <f>G27-G21</f>
        <v>152.50378499999806</v>
      </c>
      <c r="N27" s="257" t="s">
        <v>337</v>
      </c>
      <c r="O27" s="232"/>
    </row>
    <row r="28" spans="1:17" s="17" customFormat="1" ht="22.5" customHeight="1">
      <c r="A28" s="36">
        <v>24</v>
      </c>
      <c r="B28" s="441">
        <v>25000</v>
      </c>
      <c r="C28" s="664" t="s">
        <v>377</v>
      </c>
      <c r="D28" s="22"/>
      <c r="E28" s="55">
        <f t="shared" si="0"/>
        <v>25000</v>
      </c>
      <c r="F28" s="26"/>
      <c r="G28" s="670">
        <f>'By-Lot'!G252</f>
        <v>7155.173310000002</v>
      </c>
      <c r="H28" s="678" t="s">
        <v>201</v>
      </c>
      <c r="I28" s="648"/>
      <c r="J28" s="648"/>
      <c r="K28" s="95">
        <f>(G27-G28)/G27</f>
        <v>0.0663332253437827</v>
      </c>
      <c r="L28" s="90" t="s">
        <v>105</v>
      </c>
      <c r="M28" s="77">
        <f>G27-G28</f>
        <v>508.345949999999</v>
      </c>
      <c r="N28" s="68" t="s">
        <v>118</v>
      </c>
      <c r="O28" s="76"/>
      <c r="P28" s="12"/>
      <c r="Q28" s="505"/>
    </row>
    <row r="29" spans="1:17" s="17" customFormat="1" ht="22.5" customHeight="1">
      <c r="A29" s="445">
        <v>25</v>
      </c>
      <c r="B29" s="452">
        <v>25000</v>
      </c>
      <c r="C29" s="453" t="s">
        <v>379</v>
      </c>
      <c r="D29" s="445"/>
      <c r="E29" s="446">
        <f>B29</f>
        <v>25000</v>
      </c>
      <c r="F29" s="451"/>
      <c r="G29" s="675">
        <f>'By-Lot'!G253</f>
        <v>7409.346285000003</v>
      </c>
      <c r="H29" s="683" t="s">
        <v>296</v>
      </c>
      <c r="I29" s="458"/>
      <c r="J29" s="458"/>
      <c r="K29" s="455">
        <f>(G27-G29)/G27</f>
        <v>0.03316661267189112</v>
      </c>
      <c r="L29" s="459" t="s">
        <v>220</v>
      </c>
      <c r="M29" s="460">
        <f>G27-G29</f>
        <v>254.17297499999768</v>
      </c>
      <c r="N29" s="461" t="s">
        <v>220</v>
      </c>
      <c r="O29" s="76"/>
      <c r="P29" s="12"/>
      <c r="Q29" s="505"/>
    </row>
    <row r="30" spans="1:17" s="17" customFormat="1" ht="22.5" customHeight="1">
      <c r="A30" s="39">
        <v>26</v>
      </c>
      <c r="B30" s="362">
        <v>25000</v>
      </c>
      <c r="C30" s="45" t="s">
        <v>309</v>
      </c>
      <c r="D30" s="39"/>
      <c r="E30" s="51">
        <f t="shared" si="0"/>
        <v>25000</v>
      </c>
      <c r="F30" s="363"/>
      <c r="G30" s="671">
        <f>'By-Lot'!G254</f>
        <v>7917.692235000002</v>
      </c>
      <c r="H30" s="679" t="s">
        <v>223</v>
      </c>
      <c r="I30" s="63"/>
      <c r="J30" s="63"/>
      <c r="K30" s="96">
        <f>(G30-$G$27)/($G$27)</f>
        <v>0.033166612671891596</v>
      </c>
      <c r="L30" s="64" t="s">
        <v>132</v>
      </c>
      <c r="M30" s="617">
        <f>G30-G27</f>
        <v>254.17297500000132</v>
      </c>
      <c r="N30" s="427" t="s">
        <v>117</v>
      </c>
      <c r="O30" s="76"/>
      <c r="P30" s="12"/>
      <c r="Q30" s="505"/>
    </row>
    <row r="31" spans="1:17" s="17" customFormat="1" ht="22.5" customHeight="1">
      <c r="A31" s="367">
        <v>27</v>
      </c>
      <c r="B31" s="366">
        <v>25000</v>
      </c>
      <c r="C31" s="374" t="s">
        <v>382</v>
      </c>
      <c r="D31" s="367"/>
      <c r="E31" s="365">
        <f t="shared" si="0"/>
        <v>25000</v>
      </c>
      <c r="F31" s="368"/>
      <c r="G31" s="672">
        <f>'By-Lot'!G255</f>
        <v>8171.865210000004</v>
      </c>
      <c r="H31" s="680" t="s">
        <v>197</v>
      </c>
      <c r="I31" s="368"/>
      <c r="J31" s="368"/>
      <c r="K31" s="372">
        <f>(G31-$G$27)/($G$27)</f>
        <v>0.06633322534378319</v>
      </c>
      <c r="L31" s="375" t="s">
        <v>129</v>
      </c>
      <c r="M31" s="369">
        <f>G31-G27</f>
        <v>508.34595000000263</v>
      </c>
      <c r="N31" s="373" t="s">
        <v>23</v>
      </c>
      <c r="O31" s="76"/>
      <c r="P31" s="12"/>
      <c r="Q31" s="505"/>
    </row>
    <row r="32" spans="1:17" s="17" customFormat="1" ht="22.5" customHeight="1">
      <c r="A32" s="379">
        <v>28</v>
      </c>
      <c r="B32" s="380">
        <v>25000</v>
      </c>
      <c r="C32" s="378" t="s">
        <v>386</v>
      </c>
      <c r="D32" s="379"/>
      <c r="E32" s="381">
        <f t="shared" si="0"/>
        <v>25000</v>
      </c>
      <c r="F32" s="382"/>
      <c r="G32" s="685">
        <f>'By-Lot'!G256</f>
        <v>8426.038185000001</v>
      </c>
      <c r="H32" s="684" t="s">
        <v>197</v>
      </c>
      <c r="I32" s="384"/>
      <c r="J32" s="384"/>
      <c r="K32" s="385">
        <f>(G32-$G$27)/($G$27)</f>
        <v>0.0994998380156743</v>
      </c>
      <c r="L32" s="386" t="s">
        <v>130</v>
      </c>
      <c r="M32" s="437">
        <f>G32-G27</f>
        <v>762.5189250000003</v>
      </c>
      <c r="N32" s="386" t="s">
        <v>117</v>
      </c>
      <c r="O32" s="76"/>
      <c r="P32" s="12"/>
      <c r="Q32" s="505"/>
    </row>
    <row r="33" spans="1:15" s="17" customFormat="1" ht="22.5" customHeight="1">
      <c r="A33" s="70">
        <v>29</v>
      </c>
      <c r="B33" s="411">
        <v>30000</v>
      </c>
      <c r="C33" s="414" t="s">
        <v>385</v>
      </c>
      <c r="D33" s="70"/>
      <c r="E33" s="71">
        <f t="shared" si="0"/>
        <v>30000</v>
      </c>
      <c r="F33" s="413"/>
      <c r="G33" s="673">
        <f>'By-Lot'!G257</f>
        <v>7765.1884500000015</v>
      </c>
      <c r="H33" s="681" t="s">
        <v>304</v>
      </c>
      <c r="I33" s="260"/>
      <c r="J33" s="260"/>
      <c r="K33" s="415">
        <f>(G33-$G$27)/(B33-$B$27)</f>
        <v>0.020333838000000104</v>
      </c>
      <c r="L33" s="417" t="s">
        <v>390</v>
      </c>
      <c r="M33" s="658">
        <f>G33-G27</f>
        <v>101.66919000000053</v>
      </c>
      <c r="N33" s="257" t="s">
        <v>337</v>
      </c>
      <c r="O33" s="232"/>
    </row>
    <row r="34" spans="1:17" s="17" customFormat="1" ht="22.5" customHeight="1">
      <c r="A34" s="36">
        <v>30</v>
      </c>
      <c r="B34" s="441">
        <v>30000</v>
      </c>
      <c r="C34" s="664" t="s">
        <v>377</v>
      </c>
      <c r="D34" s="22"/>
      <c r="E34" s="55">
        <f t="shared" si="0"/>
        <v>30000</v>
      </c>
      <c r="F34" s="26"/>
      <c r="G34" s="670">
        <f>'By-Lot'!G258</f>
        <v>7256.842500000002</v>
      </c>
      <c r="H34" s="678" t="s">
        <v>201</v>
      </c>
      <c r="I34" s="648"/>
      <c r="J34" s="648"/>
      <c r="K34" s="95">
        <f>(G33-G34)/(G33)</f>
        <v>0.06546472803245358</v>
      </c>
      <c r="L34" s="90" t="s">
        <v>105</v>
      </c>
      <c r="M34" s="77">
        <f>G33-G34</f>
        <v>508.3459499999999</v>
      </c>
      <c r="N34" s="68" t="s">
        <v>118</v>
      </c>
      <c r="O34" s="76"/>
      <c r="P34" s="12"/>
      <c r="Q34" s="505"/>
    </row>
    <row r="35" spans="1:17" s="17" customFormat="1" ht="22.5" customHeight="1">
      <c r="A35" s="445">
        <v>31</v>
      </c>
      <c r="B35" s="452">
        <v>30000</v>
      </c>
      <c r="C35" s="453" t="s">
        <v>379</v>
      </c>
      <c r="D35" s="445"/>
      <c r="E35" s="446">
        <f>B35</f>
        <v>30000</v>
      </c>
      <c r="F35" s="451"/>
      <c r="G35" s="675">
        <f>'By-Lot'!G259</f>
        <v>7511.015475000003</v>
      </c>
      <c r="H35" s="683" t="s">
        <v>296</v>
      </c>
      <c r="I35" s="458"/>
      <c r="J35" s="458"/>
      <c r="K35" s="455">
        <f>(G33-G35)/(G33)</f>
        <v>0.03273236401622662</v>
      </c>
      <c r="L35" s="459" t="s">
        <v>220</v>
      </c>
      <c r="M35" s="460">
        <f>G33-G35</f>
        <v>254.1729749999986</v>
      </c>
      <c r="N35" s="461" t="s">
        <v>220</v>
      </c>
      <c r="O35" s="76"/>
      <c r="P35" s="12"/>
      <c r="Q35" s="505"/>
    </row>
    <row r="36" spans="1:17" s="17" customFormat="1" ht="22.5" customHeight="1">
      <c r="A36" s="39">
        <v>32</v>
      </c>
      <c r="B36" s="362">
        <v>30000</v>
      </c>
      <c r="C36" s="45" t="s">
        <v>309</v>
      </c>
      <c r="D36" s="39"/>
      <c r="E36" s="51">
        <f>B36</f>
        <v>30000</v>
      </c>
      <c r="F36" s="363"/>
      <c r="G36" s="671">
        <f>'By-Lot'!G260</f>
        <v>8019.361425000003</v>
      </c>
      <c r="H36" s="679" t="s">
        <v>125</v>
      </c>
      <c r="I36" s="74"/>
      <c r="J36" s="74"/>
      <c r="K36" s="97">
        <f>(G36-$G$33)/($G$33)</f>
        <v>0.03273236401622697</v>
      </c>
      <c r="L36" s="64" t="s">
        <v>132</v>
      </c>
      <c r="M36" s="617">
        <f>G36-G33</f>
        <v>254.17297500000132</v>
      </c>
      <c r="N36" s="427" t="s">
        <v>117</v>
      </c>
      <c r="O36" s="76"/>
      <c r="P36" s="12"/>
      <c r="Q36" s="505"/>
    </row>
    <row r="37" spans="1:17" s="17" customFormat="1" ht="22.5" customHeight="1">
      <c r="A37" s="367">
        <v>33</v>
      </c>
      <c r="B37" s="366">
        <v>30000</v>
      </c>
      <c r="C37" s="374" t="s">
        <v>382</v>
      </c>
      <c r="D37" s="367"/>
      <c r="E37" s="365">
        <f>B37</f>
        <v>30000</v>
      </c>
      <c r="F37" s="368"/>
      <c r="G37" s="672">
        <f>'By-Lot'!G261</f>
        <v>8273.534400000004</v>
      </c>
      <c r="H37" s="680" t="s">
        <v>197</v>
      </c>
      <c r="I37" s="376"/>
      <c r="J37" s="376"/>
      <c r="K37" s="372">
        <f>(G37-G33)/(G33)</f>
        <v>0.06546472803245394</v>
      </c>
      <c r="L37" s="377" t="s">
        <v>129</v>
      </c>
      <c r="M37" s="369">
        <f>G37-G33</f>
        <v>508.34595000000263</v>
      </c>
      <c r="N37" s="373" t="s">
        <v>23</v>
      </c>
      <c r="O37" s="76"/>
      <c r="P37" s="12"/>
      <c r="Q37" s="505"/>
    </row>
    <row r="38" spans="1:17" s="17" customFormat="1" ht="22.5" customHeight="1">
      <c r="A38" s="379">
        <v>34</v>
      </c>
      <c r="B38" s="380">
        <v>30000</v>
      </c>
      <c r="C38" s="378" t="s">
        <v>386</v>
      </c>
      <c r="D38" s="379"/>
      <c r="E38" s="381">
        <f>B38</f>
        <v>30000</v>
      </c>
      <c r="F38" s="382"/>
      <c r="G38" s="685">
        <f>'By-Lot'!G262</f>
        <v>8527.707375000002</v>
      </c>
      <c r="H38" s="684" t="s">
        <v>197</v>
      </c>
      <c r="I38" s="384"/>
      <c r="J38" s="384"/>
      <c r="K38" s="385">
        <f>(G38-$G$33)/($G$33)</f>
        <v>0.09819709204868043</v>
      </c>
      <c r="L38" s="386" t="s">
        <v>130</v>
      </c>
      <c r="M38" s="437">
        <f>G38-G33</f>
        <v>762.5189250000003</v>
      </c>
      <c r="N38" s="386" t="s">
        <v>117</v>
      </c>
      <c r="O38" s="76"/>
      <c r="P38" s="12"/>
      <c r="Q38" s="505"/>
    </row>
    <row r="39" spans="1:15" s="17" customFormat="1" ht="22.5" customHeight="1">
      <c r="A39" s="70">
        <v>35</v>
      </c>
      <c r="B39" s="411">
        <v>31686</v>
      </c>
      <c r="C39" s="414" t="s">
        <v>385</v>
      </c>
      <c r="D39" s="70"/>
      <c r="E39" s="71">
        <f t="shared" si="0"/>
        <v>31686</v>
      </c>
      <c r="F39" s="413"/>
      <c r="G39" s="673">
        <f>'By-Lot'!G263</f>
        <v>7765.1884500000015</v>
      </c>
      <c r="H39" s="681" t="s">
        <v>364</v>
      </c>
      <c r="I39" s="260"/>
      <c r="J39" s="260"/>
      <c r="K39" s="415">
        <f>(G39-$G$33)/(B39-$B$33)</f>
        <v>0</v>
      </c>
      <c r="L39" s="417" t="s">
        <v>390</v>
      </c>
      <c r="M39" s="659">
        <f>G39-G33</f>
        <v>0</v>
      </c>
      <c r="N39" s="257" t="s">
        <v>337</v>
      </c>
      <c r="O39" s="232"/>
    </row>
    <row r="40" spans="1:17" s="17" customFormat="1" ht="22.5" customHeight="1">
      <c r="A40" s="36">
        <v>36</v>
      </c>
      <c r="B40" s="441">
        <v>31686</v>
      </c>
      <c r="C40" s="664" t="s">
        <v>377</v>
      </c>
      <c r="D40" s="22"/>
      <c r="E40" s="55">
        <f t="shared" si="0"/>
        <v>31686</v>
      </c>
      <c r="F40" s="26"/>
      <c r="G40" s="670">
        <f>'By-Lot'!G264</f>
        <v>7256.842500000002</v>
      </c>
      <c r="H40" s="678" t="s">
        <v>201</v>
      </c>
      <c r="I40" s="648"/>
      <c r="J40" s="648"/>
      <c r="K40" s="95">
        <f>(G39-G40)/(G39)</f>
        <v>0.06546472803245358</v>
      </c>
      <c r="L40" s="90" t="s">
        <v>105</v>
      </c>
      <c r="M40" s="77">
        <f>G39-G40</f>
        <v>508.3459499999999</v>
      </c>
      <c r="N40" s="68" t="s">
        <v>118</v>
      </c>
      <c r="O40" s="76"/>
      <c r="P40" s="12"/>
      <c r="Q40" s="505"/>
    </row>
    <row r="41" spans="1:17" s="17" customFormat="1" ht="22.5" customHeight="1">
      <c r="A41" s="445">
        <v>37</v>
      </c>
      <c r="B41" s="452">
        <v>31686</v>
      </c>
      <c r="C41" s="453" t="s">
        <v>379</v>
      </c>
      <c r="D41" s="445"/>
      <c r="E41" s="446">
        <f>B41</f>
        <v>31686</v>
      </c>
      <c r="F41" s="451"/>
      <c r="G41" s="675">
        <f>'By-Lot'!G265</f>
        <v>7511.015475000003</v>
      </c>
      <c r="H41" s="683" t="s">
        <v>296</v>
      </c>
      <c r="I41" s="458"/>
      <c r="J41" s="458"/>
      <c r="K41" s="455">
        <f>(G39-G41)/(G39)</f>
        <v>0.03273236401622662</v>
      </c>
      <c r="L41" s="459" t="s">
        <v>220</v>
      </c>
      <c r="M41" s="460">
        <f>G39-G41</f>
        <v>254.1729749999986</v>
      </c>
      <c r="N41" s="461" t="s">
        <v>220</v>
      </c>
      <c r="O41" s="76"/>
      <c r="P41" s="12"/>
      <c r="Q41" s="505"/>
    </row>
    <row r="42" spans="1:17" s="17" customFormat="1" ht="22.5" customHeight="1">
      <c r="A42" s="39">
        <v>38</v>
      </c>
      <c r="B42" s="362">
        <v>31686</v>
      </c>
      <c r="C42" s="45" t="s">
        <v>309</v>
      </c>
      <c r="D42" s="39"/>
      <c r="E42" s="51">
        <f t="shared" si="0"/>
        <v>31686</v>
      </c>
      <c r="F42" s="363"/>
      <c r="G42" s="671">
        <f>'By-Lot'!G266</f>
        <v>8019.361425000003</v>
      </c>
      <c r="H42" s="679" t="s">
        <v>125</v>
      </c>
      <c r="I42" s="74"/>
      <c r="J42" s="74"/>
      <c r="K42" s="97">
        <f>(G42-$G$39)/($G$39)</f>
        <v>0.03273236401622697</v>
      </c>
      <c r="L42" s="64" t="s">
        <v>132</v>
      </c>
      <c r="M42" s="617">
        <f>G42-G39</f>
        <v>254.17297500000132</v>
      </c>
      <c r="N42" s="427" t="s">
        <v>117</v>
      </c>
      <c r="O42" s="76"/>
      <c r="P42" s="12"/>
      <c r="Q42" s="505"/>
    </row>
    <row r="43" spans="1:17" s="17" customFormat="1" ht="22.5" customHeight="1">
      <c r="A43" s="367">
        <v>39</v>
      </c>
      <c r="B43" s="366">
        <v>31686</v>
      </c>
      <c r="C43" s="374" t="s">
        <v>382</v>
      </c>
      <c r="D43" s="367"/>
      <c r="E43" s="365">
        <f t="shared" si="0"/>
        <v>31686</v>
      </c>
      <c r="F43" s="368"/>
      <c r="G43" s="672">
        <f>'By-Lot'!G267</f>
        <v>8273.534400000004</v>
      </c>
      <c r="H43" s="680" t="s">
        <v>197</v>
      </c>
      <c r="I43" s="376"/>
      <c r="J43" s="376"/>
      <c r="K43" s="372">
        <f>(G43-G39)/(G39)</f>
        <v>0.06546472803245394</v>
      </c>
      <c r="L43" s="377" t="s">
        <v>129</v>
      </c>
      <c r="M43" s="369">
        <f>G43-G39</f>
        <v>508.34595000000263</v>
      </c>
      <c r="N43" s="373" t="s">
        <v>23</v>
      </c>
      <c r="O43" s="76"/>
      <c r="P43" s="12"/>
      <c r="Q43" s="505"/>
    </row>
    <row r="44" spans="1:15" s="17" customFormat="1" ht="22.5" customHeight="1">
      <c r="A44" s="70">
        <v>40</v>
      </c>
      <c r="B44" s="411">
        <v>53328</v>
      </c>
      <c r="C44" s="414" t="s">
        <v>385</v>
      </c>
      <c r="D44" s="70"/>
      <c r="E44" s="71">
        <f t="shared" si="0"/>
        <v>53328</v>
      </c>
      <c r="F44" s="413"/>
      <c r="G44" s="673">
        <f>'By-Lot'!G268</f>
        <v>7765.1884500000015</v>
      </c>
      <c r="H44" s="681" t="s">
        <v>364</v>
      </c>
      <c r="I44" s="260"/>
      <c r="J44" s="260"/>
      <c r="K44" s="415">
        <f>(G44-$G$39)/(B44-$B$39)</f>
        <v>0</v>
      </c>
      <c r="L44" s="417" t="s">
        <v>390</v>
      </c>
      <c r="M44" s="659">
        <f>G44-G39</f>
        <v>0</v>
      </c>
      <c r="N44" s="257" t="s">
        <v>337</v>
      </c>
      <c r="O44" s="232"/>
    </row>
    <row r="45" spans="1:17" s="17" customFormat="1" ht="22.5" customHeight="1">
      <c r="A45" s="36">
        <v>41</v>
      </c>
      <c r="B45" s="441">
        <v>53328</v>
      </c>
      <c r="C45" s="664" t="s">
        <v>377</v>
      </c>
      <c r="D45" s="22"/>
      <c r="E45" s="55">
        <f t="shared" si="0"/>
        <v>53328</v>
      </c>
      <c r="F45" s="26"/>
      <c r="G45" s="670">
        <f>'By-Lot'!G269</f>
        <v>7256.842500000002</v>
      </c>
      <c r="H45" s="678" t="s">
        <v>405</v>
      </c>
      <c r="I45" s="66"/>
      <c r="J45" s="66"/>
      <c r="K45" s="92">
        <f>(G44-G45)/(G44)</f>
        <v>0.06546472803245358</v>
      </c>
      <c r="L45" s="67" t="s">
        <v>105</v>
      </c>
      <c r="M45" s="77">
        <f>G44-G45</f>
        <v>508.3459499999999</v>
      </c>
      <c r="N45" s="68" t="s">
        <v>118</v>
      </c>
      <c r="O45" s="76"/>
      <c r="P45" s="12"/>
      <c r="Q45" s="505"/>
    </row>
    <row r="46" spans="1:17" s="17" customFormat="1" ht="22.5" customHeight="1">
      <c r="A46" s="445">
        <v>42</v>
      </c>
      <c r="B46" s="452">
        <v>53328</v>
      </c>
      <c r="C46" s="453" t="s">
        <v>379</v>
      </c>
      <c r="D46" s="445"/>
      <c r="E46" s="446">
        <f>B46</f>
        <v>53328</v>
      </c>
      <c r="F46" s="451"/>
      <c r="G46" s="675">
        <f>'By-Lot'!G270</f>
        <v>7511.015475000003</v>
      </c>
      <c r="H46" s="683" t="s">
        <v>219</v>
      </c>
      <c r="I46" s="451"/>
      <c r="J46" s="451"/>
      <c r="K46" s="462">
        <f>(G44-G46)/(G44)</f>
        <v>0.03273236401622662</v>
      </c>
      <c r="L46" s="457" t="s">
        <v>220</v>
      </c>
      <c r="M46" s="616">
        <f>G45-G46</f>
        <v>-254.17297500000132</v>
      </c>
      <c r="N46" s="456" t="s">
        <v>220</v>
      </c>
      <c r="O46" s="76"/>
      <c r="P46" s="12"/>
      <c r="Q46" s="505"/>
    </row>
    <row r="47" spans="1:17" s="17" customFormat="1" ht="22.5" customHeight="1">
      <c r="A47" s="39">
        <v>43</v>
      </c>
      <c r="B47" s="362">
        <v>53328</v>
      </c>
      <c r="C47" s="45" t="s">
        <v>309</v>
      </c>
      <c r="D47" s="39"/>
      <c r="E47" s="51">
        <f t="shared" si="0"/>
        <v>53328</v>
      </c>
      <c r="F47" s="363"/>
      <c r="G47" s="671">
        <f>'By-Lot'!G271</f>
        <v>8019.361425000003</v>
      </c>
      <c r="H47" s="679" t="s">
        <v>223</v>
      </c>
      <c r="I47" s="63"/>
      <c r="J47" s="63"/>
      <c r="K47" s="93">
        <f>(G47-G44)/(G44)</f>
        <v>0.03273236401622697</v>
      </c>
      <c r="L47" s="64" t="s">
        <v>173</v>
      </c>
      <c r="M47" s="617">
        <f>G47-G44</f>
        <v>254.17297500000132</v>
      </c>
      <c r="N47" s="427" t="s">
        <v>117</v>
      </c>
      <c r="O47" s="76"/>
      <c r="P47" s="12"/>
      <c r="Q47" s="505"/>
    </row>
    <row r="48" spans="1:17" s="17" customFormat="1" ht="22.5" customHeight="1">
      <c r="A48" s="367">
        <v>44</v>
      </c>
      <c r="B48" s="366">
        <v>53328</v>
      </c>
      <c r="C48" s="374" t="s">
        <v>382</v>
      </c>
      <c r="D48" s="367"/>
      <c r="E48" s="365">
        <f t="shared" si="0"/>
        <v>53328</v>
      </c>
      <c r="F48" s="368"/>
      <c r="G48" s="672">
        <f>'By-Lot'!G272</f>
        <v>8273.534400000004</v>
      </c>
      <c r="H48" s="680" t="s">
        <v>355</v>
      </c>
      <c r="I48" s="368"/>
      <c r="J48" s="368"/>
      <c r="K48" s="372">
        <f>(G48-G44)/(G44)</f>
        <v>0.06546472803245394</v>
      </c>
      <c r="L48" s="375" t="s">
        <v>23</v>
      </c>
      <c r="M48" s="369">
        <f>G48-G44</f>
        <v>508.34595000000263</v>
      </c>
      <c r="N48" s="373" t="s">
        <v>23</v>
      </c>
      <c r="O48" s="76"/>
      <c r="P48" s="12"/>
      <c r="Q48" s="505"/>
    </row>
    <row r="51" ht="22.5" customHeight="1">
      <c r="C51" s="61"/>
    </row>
    <row r="52" ht="22.5" customHeight="1">
      <c r="C52" s="61"/>
    </row>
    <row r="53" spans="2:13" ht="22.5" customHeight="1">
      <c r="B53" s="50"/>
      <c r="C53" s="34"/>
      <c r="D53" s="24"/>
      <c r="E53" s="24"/>
      <c r="F53" s="650"/>
      <c r="G53" s="650"/>
      <c r="H53" s="47"/>
      <c r="I53" s="649"/>
      <c r="J53" s="649"/>
      <c r="K53" s="21"/>
      <c r="L53" s="21"/>
      <c r="M53" s="21"/>
    </row>
    <row r="54" spans="2:13" ht="22.5" customHeight="1">
      <c r="B54" s="56"/>
      <c r="C54" s="34"/>
      <c r="D54" s="24"/>
      <c r="E54" s="24"/>
      <c r="F54" s="650"/>
      <c r="G54" s="650"/>
      <c r="H54" s="46"/>
      <c r="I54" s="649"/>
      <c r="J54" s="649"/>
      <c r="K54" s="21"/>
      <c r="L54" s="21"/>
      <c r="M54" s="21"/>
    </row>
    <row r="55" spans="2:13" ht="22.5" customHeight="1">
      <c r="B55" s="50"/>
      <c r="C55" s="34"/>
      <c r="D55" s="24"/>
      <c r="E55" s="24"/>
      <c r="F55" s="650"/>
      <c r="G55" s="650"/>
      <c r="H55" s="47"/>
      <c r="I55" s="649"/>
      <c r="J55" s="649"/>
      <c r="K55" s="21"/>
      <c r="L55" s="21"/>
      <c r="M55" s="21"/>
    </row>
    <row r="56" spans="2:13" ht="22.5" customHeight="1">
      <c r="B56" s="50"/>
      <c r="C56" s="34"/>
      <c r="D56" s="24"/>
      <c r="E56" s="24"/>
      <c r="G56" s="650"/>
      <c r="H56" s="47"/>
      <c r="I56" s="649"/>
      <c r="J56" s="649"/>
      <c r="K56" s="21"/>
      <c r="L56" s="21"/>
      <c r="M56" s="21"/>
    </row>
    <row r="57" spans="2:13" ht="22.5" customHeight="1">
      <c r="B57" s="50"/>
      <c r="C57" s="34"/>
      <c r="D57" s="24"/>
      <c r="E57" s="24"/>
      <c r="G57" s="650"/>
      <c r="H57" s="47"/>
      <c r="I57" s="649"/>
      <c r="J57" s="649"/>
      <c r="K57" s="21"/>
      <c r="L57" s="21"/>
      <c r="M57" s="21"/>
    </row>
    <row r="58" spans="2:13" ht="22.5" customHeight="1">
      <c r="B58" s="50"/>
      <c r="C58" s="34"/>
      <c r="D58" s="24"/>
      <c r="E58" s="24"/>
      <c r="G58" s="650"/>
      <c r="H58" s="47"/>
      <c r="I58" s="649"/>
      <c r="J58" s="649"/>
      <c r="K58" s="21"/>
      <c r="L58" s="21"/>
      <c r="M58" s="21"/>
    </row>
    <row r="59" spans="1:13" ht="22.5" customHeight="1">
      <c r="A59" s="36"/>
      <c r="B59" s="35"/>
      <c r="C59" s="34"/>
      <c r="D59" s="24"/>
      <c r="E59" s="24"/>
      <c r="G59" s="650"/>
      <c r="H59" s="47"/>
      <c r="I59" s="649"/>
      <c r="J59" s="649"/>
      <c r="K59" s="21"/>
      <c r="L59" s="21"/>
      <c r="M59" s="21"/>
    </row>
    <row r="60" spans="2:13" ht="22.5" customHeight="1">
      <c r="B60" s="50"/>
      <c r="C60" s="34"/>
      <c r="D60" s="24"/>
      <c r="E60" s="24"/>
      <c r="G60" s="650"/>
      <c r="H60" s="47"/>
      <c r="I60" s="649"/>
      <c r="J60" s="649"/>
      <c r="K60" s="21"/>
      <c r="L60" s="21"/>
      <c r="M60" s="21"/>
    </row>
    <row r="61" spans="2:13" ht="22.5" customHeight="1">
      <c r="B61" s="50"/>
      <c r="C61" s="34"/>
      <c r="D61" s="24"/>
      <c r="E61" s="24"/>
      <c r="F61" s="650"/>
      <c r="G61" s="650"/>
      <c r="H61" s="47"/>
      <c r="I61" s="649"/>
      <c r="J61" s="649"/>
      <c r="K61" s="21"/>
      <c r="L61" s="21"/>
      <c r="M61" s="21"/>
    </row>
    <row r="62" spans="2:13" ht="22.5" customHeight="1">
      <c r="B62" s="50"/>
      <c r="C62" s="34"/>
      <c r="D62" s="24"/>
      <c r="E62" s="24"/>
      <c r="F62" s="650"/>
      <c r="G62" s="650"/>
      <c r="H62" s="47"/>
      <c r="I62" s="649"/>
      <c r="J62" s="649"/>
      <c r="K62" s="21"/>
      <c r="L62" s="21"/>
      <c r="M62" s="21"/>
    </row>
    <row r="63" spans="2:13" ht="22.5" customHeight="1">
      <c r="B63" s="50"/>
      <c r="C63" s="34"/>
      <c r="D63" s="24"/>
      <c r="E63" s="24"/>
      <c r="F63" s="650"/>
      <c r="G63" s="650"/>
      <c r="H63" s="47"/>
      <c r="I63" s="649"/>
      <c r="J63" s="649"/>
      <c r="K63" s="21"/>
      <c r="L63" s="21"/>
      <c r="M63" s="21"/>
    </row>
    <row r="64" spans="2:13" ht="22.5" customHeight="1">
      <c r="B64" s="50"/>
      <c r="C64" s="22"/>
      <c r="D64" s="24"/>
      <c r="E64" s="24"/>
      <c r="G64" s="650"/>
      <c r="H64" s="47"/>
      <c r="I64" s="649"/>
      <c r="J64" s="649"/>
      <c r="K64" s="21"/>
      <c r="L64" s="21"/>
      <c r="M64" s="21"/>
    </row>
    <row r="65" spans="3:8" ht="22.5" customHeight="1">
      <c r="C65" s="22"/>
      <c r="D65" s="24"/>
      <c r="E65" s="24"/>
      <c r="G65" s="651"/>
      <c r="H65" s="47"/>
    </row>
    <row r="66" spans="3:8" ht="22.5" customHeight="1">
      <c r="C66" s="22"/>
      <c r="D66" s="24"/>
      <c r="E66" s="24"/>
      <c r="G66" s="651"/>
      <c r="H66" s="47"/>
    </row>
    <row r="67" spans="1:17" s="648" customFormat="1" ht="22.5" customHeight="1">
      <c r="A67" s="22"/>
      <c r="B67" s="12"/>
      <c r="C67" s="22"/>
      <c r="D67" s="24"/>
      <c r="E67" s="24"/>
      <c r="F67" s="26"/>
      <c r="G67" s="651"/>
      <c r="H67" s="47"/>
      <c r="K67" s="12"/>
      <c r="L67" s="27"/>
      <c r="M67" s="12"/>
      <c r="N67" s="12"/>
      <c r="O67" s="12"/>
      <c r="P67" s="12"/>
      <c r="Q67" s="505"/>
    </row>
    <row r="68" spans="1:17" s="648" customFormat="1" ht="22.5" customHeight="1">
      <c r="A68" s="22"/>
      <c r="B68" s="12"/>
      <c r="C68" s="22"/>
      <c r="D68" s="24"/>
      <c r="E68" s="24"/>
      <c r="F68" s="26"/>
      <c r="G68" s="651"/>
      <c r="H68" s="47"/>
      <c r="K68" s="12"/>
      <c r="L68" s="27"/>
      <c r="M68" s="12"/>
      <c r="N68" s="12"/>
      <c r="O68" s="12"/>
      <c r="P68" s="12"/>
      <c r="Q68" s="505"/>
    </row>
    <row r="69" spans="1:17" s="648" customFormat="1" ht="22.5" customHeight="1">
      <c r="A69" s="22"/>
      <c r="B69" s="50"/>
      <c r="C69" s="22"/>
      <c r="D69" s="24"/>
      <c r="E69" s="24"/>
      <c r="F69" s="26"/>
      <c r="G69" s="651"/>
      <c r="H69" s="47"/>
      <c r="K69" s="12"/>
      <c r="L69" s="27"/>
      <c r="M69" s="12"/>
      <c r="N69" s="12"/>
      <c r="O69" s="12"/>
      <c r="P69" s="12"/>
      <c r="Q69" s="505"/>
    </row>
    <row r="70" spans="1:17" s="648" customFormat="1" ht="22.5" customHeight="1">
      <c r="A70" s="22"/>
      <c r="B70" s="12"/>
      <c r="C70" s="22"/>
      <c r="D70" s="12"/>
      <c r="E70" s="12"/>
      <c r="F70" s="26"/>
      <c r="H70" s="12"/>
      <c r="K70" s="12"/>
      <c r="L70" s="27"/>
      <c r="M70" s="12"/>
      <c r="N70" s="12"/>
      <c r="O70" s="12"/>
      <c r="P70" s="12"/>
      <c r="Q70" s="505"/>
    </row>
    <row r="71" spans="1:17" s="648" customFormat="1" ht="22.5" customHeight="1">
      <c r="A71" s="22"/>
      <c r="B71" s="12"/>
      <c r="C71" s="22"/>
      <c r="D71" s="12"/>
      <c r="E71" s="12"/>
      <c r="F71" s="26"/>
      <c r="H71" s="12"/>
      <c r="K71" s="12"/>
      <c r="L71" s="27"/>
      <c r="M71" s="12"/>
      <c r="N71" s="12"/>
      <c r="O71" s="12"/>
      <c r="P71" s="12"/>
      <c r="Q71" s="505"/>
    </row>
    <row r="72" spans="1:17" s="648" customFormat="1" ht="22.5" customHeight="1">
      <c r="A72" s="22"/>
      <c r="B72" s="12"/>
      <c r="C72" s="22"/>
      <c r="D72" s="12"/>
      <c r="E72" s="12"/>
      <c r="F72" s="26"/>
      <c r="H72" s="12"/>
      <c r="K72" s="12"/>
      <c r="L72" s="27"/>
      <c r="M72" s="12"/>
      <c r="N72" s="12"/>
      <c r="O72" s="12"/>
      <c r="P72" s="12"/>
      <c r="Q72" s="505"/>
    </row>
    <row r="73" spans="1:17" s="648" customFormat="1" ht="22.5" customHeight="1">
      <c r="A73" s="22"/>
      <c r="B73" s="12"/>
      <c r="C73" s="22"/>
      <c r="D73" s="12"/>
      <c r="E73" s="12"/>
      <c r="F73" s="26"/>
      <c r="H73" s="12"/>
      <c r="K73" s="12"/>
      <c r="L73" s="27"/>
      <c r="M73" s="12"/>
      <c r="N73" s="12"/>
      <c r="O73" s="12"/>
      <c r="P73" s="12"/>
      <c r="Q73" s="505"/>
    </row>
    <row r="74" spans="1:17" s="648" customFormat="1" ht="22.5" customHeight="1">
      <c r="A74" s="22"/>
      <c r="B74" s="50"/>
      <c r="C74" s="22"/>
      <c r="D74" s="12"/>
      <c r="E74" s="12"/>
      <c r="F74" s="26"/>
      <c r="H74" s="12"/>
      <c r="K74" s="12"/>
      <c r="L74" s="27"/>
      <c r="M74" s="12"/>
      <c r="N74" s="12"/>
      <c r="O74" s="12"/>
      <c r="P74" s="12"/>
      <c r="Q74" s="505"/>
    </row>
    <row r="75" spans="1:17" s="648" customFormat="1" ht="22.5" customHeight="1">
      <c r="A75" s="22"/>
      <c r="B75" s="12"/>
      <c r="C75" s="22"/>
      <c r="D75" s="12"/>
      <c r="E75" s="12"/>
      <c r="F75" s="26"/>
      <c r="H75" s="12"/>
      <c r="K75" s="12"/>
      <c r="L75" s="27"/>
      <c r="M75" s="12"/>
      <c r="N75" s="12"/>
      <c r="O75" s="12"/>
      <c r="P75" s="12"/>
      <c r="Q75" s="505"/>
    </row>
    <row r="76" spans="1:17" s="648" customFormat="1" ht="22.5" customHeight="1">
      <c r="A76" s="22"/>
      <c r="B76" s="12"/>
      <c r="C76" s="22"/>
      <c r="D76" s="12"/>
      <c r="E76" s="12"/>
      <c r="F76" s="26"/>
      <c r="H76" s="12"/>
      <c r="K76" s="12"/>
      <c r="L76" s="27"/>
      <c r="M76" s="12"/>
      <c r="N76" s="12"/>
      <c r="O76" s="12"/>
      <c r="P76" s="12"/>
      <c r="Q76" s="505"/>
    </row>
    <row r="77" spans="1:17" s="648" customFormat="1" ht="22.5" customHeight="1">
      <c r="A77" s="22"/>
      <c r="B77" s="12"/>
      <c r="C77" s="22"/>
      <c r="D77" s="12"/>
      <c r="E77" s="12"/>
      <c r="F77" s="26"/>
      <c r="H77" s="12"/>
      <c r="K77" s="12"/>
      <c r="L77" s="27"/>
      <c r="M77" s="12"/>
      <c r="N77" s="12"/>
      <c r="O77" s="12"/>
      <c r="P77" s="12"/>
      <c r="Q77" s="505"/>
    </row>
    <row r="78" spans="1:17" s="648" customFormat="1" ht="22.5" customHeight="1">
      <c r="A78" s="22"/>
      <c r="B78" s="50"/>
      <c r="C78" s="22"/>
      <c r="D78" s="12"/>
      <c r="E78" s="12"/>
      <c r="F78" s="26"/>
      <c r="H78" s="12"/>
      <c r="K78" s="12"/>
      <c r="L78" s="27"/>
      <c r="M78" s="12"/>
      <c r="N78" s="12"/>
      <c r="O78" s="12"/>
      <c r="P78" s="12"/>
      <c r="Q78" s="505"/>
    </row>
    <row r="79" spans="1:17" s="648" customFormat="1" ht="22.5" customHeight="1">
      <c r="A79" s="22"/>
      <c r="B79" s="12"/>
      <c r="C79" s="22"/>
      <c r="D79" s="12"/>
      <c r="E79" s="12"/>
      <c r="F79" s="26"/>
      <c r="H79" s="12"/>
      <c r="K79" s="12"/>
      <c r="L79" s="27"/>
      <c r="M79" s="12"/>
      <c r="N79" s="12"/>
      <c r="O79" s="12"/>
      <c r="P79" s="12"/>
      <c r="Q79" s="505"/>
    </row>
  </sheetData>
  <printOptions gridLines="1" horizontalCentered="1"/>
  <pageMargins left="0.5" right="0.5" top="1" bottom="0.5" header="0.5" footer="0.5"/>
  <pageSetup orientation="landscape" pageOrder="overThenDown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0"/>
  <sheetViews>
    <sheetView zoomScale="110" zoomScaleNormal="110" workbookViewId="0" topLeftCell="A1">
      <pane ySplit="1" topLeftCell="BM2" activePane="bottomLeft" state="frozen"/>
      <selection pane="topLeft" activeCell="A1" sqref="A1"/>
      <selection pane="bottomLeft" activeCell="H17" sqref="H17"/>
    </sheetView>
  </sheetViews>
  <sheetFormatPr defaultColWidth="11.421875" defaultRowHeight="12.75"/>
  <cols>
    <col min="1" max="1" width="8.28125" style="487" customWidth="1"/>
    <col min="2" max="2" width="3.28125" style="487" customWidth="1"/>
    <col min="3" max="4" width="8.28125" style="472" customWidth="1"/>
    <col min="5" max="5" width="11.421875" style="480" customWidth="1"/>
    <col min="6" max="6" width="13.28125" style="480" customWidth="1"/>
    <col min="7" max="7" width="14.140625" style="489" customWidth="1"/>
    <col min="8" max="8" width="14.8515625" style="525" customWidth="1"/>
    <col min="9" max="9" width="14.140625" style="474" customWidth="1"/>
    <col min="10" max="10" width="15.28125" style="471" customWidth="1"/>
    <col min="11" max="11" width="12.8515625" style="532" customWidth="1"/>
    <col min="12" max="12" width="14.28125" style="530" bestFit="1" customWidth="1"/>
  </cols>
  <sheetData>
    <row r="1" spans="7:9" ht="16.5">
      <c r="G1" s="489" t="s">
        <v>225</v>
      </c>
      <c r="H1" s="566" t="s">
        <v>106</v>
      </c>
      <c r="I1" s="479" t="s">
        <v>409</v>
      </c>
    </row>
    <row r="2" spans="3:12" ht="16.5">
      <c r="C2" s="496">
        <v>7116</v>
      </c>
      <c r="D2" s="34" t="s">
        <v>224</v>
      </c>
      <c r="E2" s="481">
        <f>'By-Lot'!G229</f>
        <v>6494.323575000001</v>
      </c>
      <c r="F2" s="470">
        <f>E2</f>
        <v>6494.323575000001</v>
      </c>
      <c r="G2" s="486">
        <f>F2/C2</f>
        <v>0.9126368149241149</v>
      </c>
      <c r="H2" s="567" t="s">
        <v>225</v>
      </c>
      <c r="I2" s="471">
        <f>E2</f>
        <v>6494.323575000001</v>
      </c>
      <c r="J2" s="478">
        <f>E2</f>
        <v>6494.323575000001</v>
      </c>
      <c r="L2" s="531" t="s">
        <v>183</v>
      </c>
    </row>
    <row r="3" spans="1:10" ht="16.5">
      <c r="A3" s="472">
        <v>7116</v>
      </c>
      <c r="B3" s="487" t="s">
        <v>411</v>
      </c>
      <c r="C3" s="472">
        <v>8000</v>
      </c>
      <c r="H3" s="525">
        <f>H4+(H4*0.003%)</f>
        <v>0.088137387519853</v>
      </c>
      <c r="I3" s="528">
        <f>H3*884</f>
        <v>77.91345056755006</v>
      </c>
      <c r="J3" s="495">
        <f>SUM($I$2:I3)</f>
        <v>6572.237025567551</v>
      </c>
    </row>
    <row r="4" spans="1:12" ht="16.5">
      <c r="A4" s="487">
        <v>8000</v>
      </c>
      <c r="B4" s="487" t="s">
        <v>410</v>
      </c>
      <c r="C4" s="472">
        <v>9000</v>
      </c>
      <c r="H4" s="525">
        <f>G5+(G5*0.003%)</f>
        <v>0.08813474347754868</v>
      </c>
      <c r="I4" s="474">
        <f>H4*1000</f>
        <v>88.13474347754868</v>
      </c>
      <c r="J4" s="495">
        <f>SUM($I$2:I4)</f>
        <v>6660.3717690451</v>
      </c>
      <c r="L4" s="594" t="s">
        <v>74</v>
      </c>
    </row>
    <row r="5" spans="1:13" ht="16.5">
      <c r="A5" s="487">
        <v>9000</v>
      </c>
      <c r="B5" s="487" t="s">
        <v>410</v>
      </c>
      <c r="C5" s="469">
        <v>10000</v>
      </c>
      <c r="D5" s="469">
        <f>C5-$C$2</f>
        <v>2884</v>
      </c>
      <c r="E5" s="497">
        <f>'By-Lot'!G234</f>
        <v>6748.496550000002</v>
      </c>
      <c r="F5" s="470">
        <f>E5-E2</f>
        <v>254.1729750000004</v>
      </c>
      <c r="G5" s="490">
        <f>F5/D5</f>
        <v>0.08813209951456324</v>
      </c>
      <c r="H5" s="525">
        <f>H4-(H3-H4)</f>
        <v>0.08813209943524436</v>
      </c>
      <c r="I5" s="474">
        <f>H5*1000</f>
        <v>88.13209943524436</v>
      </c>
      <c r="J5" s="478">
        <f>SUM($I$2:I5)</f>
        <v>6748.503868480345</v>
      </c>
      <c r="L5" s="595">
        <f>'By-Lot'!M235</f>
        <v>254.1729750000004</v>
      </c>
      <c r="M5" s="599" t="s">
        <v>220</v>
      </c>
    </row>
    <row r="6" spans="1:10" ht="16.5">
      <c r="A6" s="487">
        <v>10000</v>
      </c>
      <c r="B6" s="487" t="s">
        <v>410</v>
      </c>
      <c r="C6" s="475">
        <v>11000</v>
      </c>
      <c r="G6" s="526"/>
      <c r="H6" s="525">
        <f>H7+(H7*2%)</f>
        <v>0.08462130022080006</v>
      </c>
      <c r="I6" s="474">
        <f aca="true" t="shared" si="0" ref="I6:I51">H6*1000</f>
        <v>84.62130022080005</v>
      </c>
      <c r="J6" s="495">
        <f>SUM($I$2:I6)</f>
        <v>6833.1251687011445</v>
      </c>
    </row>
    <row r="7" spans="1:13" ht="16.5">
      <c r="A7" s="487">
        <v>11000</v>
      </c>
      <c r="B7" s="487" t="s">
        <v>410</v>
      </c>
      <c r="C7" s="475">
        <v>12000</v>
      </c>
      <c r="G7" s="526"/>
      <c r="H7" s="525">
        <f>H8+(H8*2%)</f>
        <v>0.08296205904000005</v>
      </c>
      <c r="I7" s="474">
        <f t="shared" si="0"/>
        <v>82.96205904000006</v>
      </c>
      <c r="J7" s="495">
        <f>SUM($I$2:I7)</f>
        <v>6916.0872277411445</v>
      </c>
      <c r="L7" s="603" t="s">
        <v>88</v>
      </c>
      <c r="M7" s="604"/>
    </row>
    <row r="8" spans="1:13" ht="16.5">
      <c r="A8" s="487">
        <v>12000</v>
      </c>
      <c r="B8" s="487" t="s">
        <v>410</v>
      </c>
      <c r="C8" s="475">
        <v>13000</v>
      </c>
      <c r="G8" s="527"/>
      <c r="H8" s="525">
        <f>G10</f>
        <v>0.08133535200000006</v>
      </c>
      <c r="I8" s="474">
        <f t="shared" si="0"/>
        <v>81.33535200000006</v>
      </c>
      <c r="J8" s="495">
        <f>SUM($I$2:I8)</f>
        <v>6997.422579741145</v>
      </c>
      <c r="L8" s="602" t="s">
        <v>89</v>
      </c>
      <c r="M8" s="604"/>
    </row>
    <row r="9" spans="1:13" ht="16.5">
      <c r="A9" s="487">
        <v>13000</v>
      </c>
      <c r="B9" s="487" t="s">
        <v>410</v>
      </c>
      <c r="C9" s="475">
        <v>14000</v>
      </c>
      <c r="G9" s="526"/>
      <c r="H9" s="525">
        <f>H8-(H7-H8)</f>
        <v>0.07970864496000006</v>
      </c>
      <c r="I9" s="474">
        <f t="shared" si="0"/>
        <v>79.70864496000006</v>
      </c>
      <c r="J9" s="495">
        <f>SUM($I$2:I9)</f>
        <v>7077.131224701145</v>
      </c>
      <c r="L9" s="65">
        <f>'By-Lot'!M236</f>
        <v>508.34595000000263</v>
      </c>
      <c r="M9" s="68" t="s">
        <v>29</v>
      </c>
    </row>
    <row r="10" spans="1:10" ht="16.5">
      <c r="A10" s="487">
        <v>14000</v>
      </c>
      <c r="B10" s="487" t="s">
        <v>410</v>
      </c>
      <c r="C10" s="469">
        <v>15000</v>
      </c>
      <c r="D10" s="469">
        <f>C10-$C$5</f>
        <v>5000</v>
      </c>
      <c r="E10" s="497">
        <f>'By-Lot'!G240</f>
        <v>7155.173310000002</v>
      </c>
      <c r="F10" s="470">
        <f>E10-E5</f>
        <v>406.6767600000003</v>
      </c>
      <c r="G10" s="490">
        <f>F10/D10</f>
        <v>0.08133535200000006</v>
      </c>
      <c r="H10" s="525">
        <f>H8-(H6-H8)</f>
        <v>0.07804940377920006</v>
      </c>
      <c r="I10" s="474">
        <f t="shared" si="0"/>
        <v>78.04940377920005</v>
      </c>
      <c r="J10" s="478">
        <f>SUM($I$2:I10)</f>
        <v>7155.180628480345</v>
      </c>
    </row>
    <row r="11" spans="1:13" ht="16.5">
      <c r="A11" s="487">
        <v>15000</v>
      </c>
      <c r="B11" s="487" t="s">
        <v>410</v>
      </c>
      <c r="C11" s="472">
        <v>16000</v>
      </c>
      <c r="G11" s="485"/>
      <c r="H11" s="525">
        <f>H12+(H12*3.5%)</f>
        <v>0.0762374046404252</v>
      </c>
      <c r="I11" s="474">
        <f t="shared" si="0"/>
        <v>76.2374046404252</v>
      </c>
      <c r="J11" s="495">
        <f>SUM($I$2:I11)</f>
        <v>7231.41803312077</v>
      </c>
      <c r="L11" s="619" t="s">
        <v>269</v>
      </c>
      <c r="M11" s="600"/>
    </row>
    <row r="12" spans="1:13" ht="16.5">
      <c r="A12" s="487">
        <v>16000</v>
      </c>
      <c r="B12" s="487" t="s">
        <v>410</v>
      </c>
      <c r="C12" s="472">
        <v>17000</v>
      </c>
      <c r="H12" s="525">
        <f>H13+(H13*3.5%)</f>
        <v>0.07365932815500019</v>
      </c>
      <c r="I12" s="474">
        <f t="shared" si="0"/>
        <v>73.6593281550002</v>
      </c>
      <c r="J12" s="495">
        <f>SUM($I$2:I12)</f>
        <v>7305.07736127577</v>
      </c>
      <c r="L12" s="589" t="s">
        <v>185</v>
      </c>
      <c r="M12" s="600"/>
    </row>
    <row r="13" spans="1:13" ht="16.5">
      <c r="A13" s="487">
        <v>17000</v>
      </c>
      <c r="B13" s="487" t="s">
        <v>410</v>
      </c>
      <c r="C13" s="472">
        <v>18000</v>
      </c>
      <c r="G13" s="533"/>
      <c r="H13" s="525">
        <f>G15</f>
        <v>0.07116843300000018</v>
      </c>
      <c r="I13" s="474">
        <f t="shared" si="0"/>
        <v>71.16843300000018</v>
      </c>
      <c r="J13" s="495">
        <f>SUM($I$2:I13)</f>
        <v>7376.24579427577</v>
      </c>
      <c r="L13" s="601">
        <f>'By-Lot'!M237</f>
        <v>254.1729750000004</v>
      </c>
      <c r="M13" s="456" t="s">
        <v>105</v>
      </c>
    </row>
    <row r="14" spans="1:10" ht="16.5">
      <c r="A14" s="487">
        <v>18000</v>
      </c>
      <c r="B14" s="487" t="s">
        <v>410</v>
      </c>
      <c r="C14" s="472">
        <v>19000</v>
      </c>
      <c r="H14" s="525">
        <f>H13-(H12-H13)</f>
        <v>0.06867753784500018</v>
      </c>
      <c r="I14" s="474">
        <f t="shared" si="0"/>
        <v>68.67753784500017</v>
      </c>
      <c r="J14" s="495">
        <f>SUM($I$2:I14)</f>
        <v>7444.92333212077</v>
      </c>
    </row>
    <row r="15" spans="1:12" ht="16.5">
      <c r="A15" s="487">
        <v>19000</v>
      </c>
      <c r="B15" s="487" t="s">
        <v>410</v>
      </c>
      <c r="C15" s="469">
        <v>20000</v>
      </c>
      <c r="D15" s="469">
        <f>C15-$C$10</f>
        <v>5000</v>
      </c>
      <c r="E15" s="497">
        <f>'By-Lot'!G245</f>
        <v>7511.015475000003</v>
      </c>
      <c r="F15" s="470">
        <f>E15-E10</f>
        <v>355.84216500000093</v>
      </c>
      <c r="G15" s="490">
        <f>F15/D15</f>
        <v>0.07116843300000018</v>
      </c>
      <c r="H15" s="525">
        <f>H13-(H11-H13)</f>
        <v>0.06609946135957517</v>
      </c>
      <c r="I15" s="474">
        <f t="shared" si="0"/>
        <v>66.09946135957517</v>
      </c>
      <c r="J15" s="478">
        <f>SUM($I$2:I15)</f>
        <v>7511.022793480345</v>
      </c>
      <c r="L15" s="597" t="s">
        <v>28</v>
      </c>
    </row>
    <row r="16" spans="1:13" ht="16.5">
      <c r="A16" s="487">
        <v>20000</v>
      </c>
      <c r="B16" s="487" t="s">
        <v>410</v>
      </c>
      <c r="C16" s="472">
        <v>21000</v>
      </c>
      <c r="E16" s="482"/>
      <c r="F16" s="483"/>
      <c r="G16" s="485"/>
      <c r="H16" s="525">
        <f>H17+(H17*14%)</f>
        <v>0.0396387837971995</v>
      </c>
      <c r="I16" s="474">
        <f t="shared" si="0"/>
        <v>39.6387837971995</v>
      </c>
      <c r="J16" s="495">
        <f>SUM($I$2:I16)</f>
        <v>7550.661577277545</v>
      </c>
      <c r="L16" s="590">
        <f>'By-Lot'!M238</f>
        <v>254.17297500000132</v>
      </c>
      <c r="M16" s="427" t="s">
        <v>117</v>
      </c>
    </row>
    <row r="17" spans="1:10" ht="16.5">
      <c r="A17" s="487">
        <v>21000</v>
      </c>
      <c r="B17" s="487" t="s">
        <v>410</v>
      </c>
      <c r="C17" s="472">
        <v>22000</v>
      </c>
      <c r="G17" s="473"/>
      <c r="H17" s="525">
        <f>H18+(H18*14%)</f>
        <v>0.03477086297999956</v>
      </c>
      <c r="I17" s="474">
        <f t="shared" si="0"/>
        <v>34.77086297999956</v>
      </c>
      <c r="J17" s="471">
        <f>SUM($I$2:I17)</f>
        <v>7585.432440257545</v>
      </c>
    </row>
    <row r="18" spans="1:12" ht="16.5">
      <c r="A18" s="487">
        <v>22000</v>
      </c>
      <c r="B18" s="487" t="s">
        <v>410</v>
      </c>
      <c r="C18" s="472">
        <v>23000</v>
      </c>
      <c r="G18" s="534"/>
      <c r="H18" s="525">
        <f>G20</f>
        <v>0.03050075699999961</v>
      </c>
      <c r="I18" s="474">
        <f t="shared" si="0"/>
        <v>30.500756999999613</v>
      </c>
      <c r="J18" s="471">
        <f>SUM($I$2:I18)</f>
        <v>7615.933197257545</v>
      </c>
      <c r="L18" s="598" t="s">
        <v>237</v>
      </c>
    </row>
    <row r="19" spans="1:13" ht="16.5">
      <c r="A19" s="487">
        <v>23000</v>
      </c>
      <c r="B19" s="487" t="s">
        <v>410</v>
      </c>
      <c r="C19" s="472">
        <v>24000</v>
      </c>
      <c r="G19" s="473"/>
      <c r="H19" s="525">
        <f>H18-(H17-H18)</f>
        <v>0.026230651019999662</v>
      </c>
      <c r="I19" s="474">
        <f t="shared" si="0"/>
        <v>26.230651019999662</v>
      </c>
      <c r="J19" s="495">
        <f>SUM($I$2:I19)</f>
        <v>7642.163848277544</v>
      </c>
      <c r="L19" s="591">
        <f>'By-Lot'!M239</f>
        <v>508.3459499999999</v>
      </c>
      <c r="M19" s="605" t="s">
        <v>117</v>
      </c>
    </row>
    <row r="20" spans="1:10" ht="16.5">
      <c r="A20" s="487">
        <v>24000</v>
      </c>
      <c r="B20" s="487" t="s">
        <v>410</v>
      </c>
      <c r="C20" s="488">
        <v>25000</v>
      </c>
      <c r="D20" s="469">
        <f>C20-C15</f>
        <v>5000</v>
      </c>
      <c r="E20" s="497">
        <f>'By-Lot'!G251</f>
        <v>7663.519260000001</v>
      </c>
      <c r="F20" s="470">
        <f>E20-E15</f>
        <v>152.50378499999806</v>
      </c>
      <c r="G20" s="490">
        <f>F20/D20</f>
        <v>0.03050075699999961</v>
      </c>
      <c r="H20" s="525">
        <f>H18-(H16-H18)</f>
        <v>0.021362730202799725</v>
      </c>
      <c r="I20" s="474">
        <f t="shared" si="0"/>
        <v>21.362730202799725</v>
      </c>
      <c r="J20" s="478">
        <f>SUM($I$2:I20)</f>
        <v>7663.526578480344</v>
      </c>
    </row>
    <row r="21" spans="1:14" ht="16.5">
      <c r="A21" s="487">
        <v>25000</v>
      </c>
      <c r="B21" s="487" t="s">
        <v>410</v>
      </c>
      <c r="C21" s="477">
        <v>26000</v>
      </c>
      <c r="D21" s="477"/>
      <c r="F21" s="483"/>
      <c r="G21" s="476"/>
      <c r="H21" s="525">
        <f>H22+(H22*1%)</f>
        <v>0.020742548143800107</v>
      </c>
      <c r="I21" s="474">
        <f t="shared" si="0"/>
        <v>20.742548143800107</v>
      </c>
      <c r="J21" s="495">
        <f>SUM($I$2:I21)</f>
        <v>7684.2691266241445</v>
      </c>
      <c r="L21" s="687" t="s">
        <v>273</v>
      </c>
      <c r="M21" s="686"/>
      <c r="N21" s="192"/>
    </row>
    <row r="22" spans="1:14" ht="16.5">
      <c r="A22" s="487">
        <v>26000</v>
      </c>
      <c r="B22" s="487" t="s">
        <v>410</v>
      </c>
      <c r="C22" s="475">
        <v>27000</v>
      </c>
      <c r="G22" s="485"/>
      <c r="H22" s="525">
        <f>H23+(H23*1%)</f>
        <v>0.020537176380000105</v>
      </c>
      <c r="I22" s="474">
        <f t="shared" si="0"/>
        <v>20.537176380000105</v>
      </c>
      <c r="J22" s="495">
        <f>SUM($I$2:I22)</f>
        <v>7704.806303004145</v>
      </c>
      <c r="L22" s="688">
        <f>L16</f>
        <v>254.17297500000132</v>
      </c>
      <c r="M22" s="605" t="s">
        <v>117</v>
      </c>
      <c r="N22" s="192"/>
    </row>
    <row r="23" spans="1:10" ht="16.5">
      <c r="A23" s="487">
        <v>27000</v>
      </c>
      <c r="B23" s="487" t="s">
        <v>410</v>
      </c>
      <c r="C23" s="475">
        <v>28000</v>
      </c>
      <c r="G23" s="534"/>
      <c r="H23" s="525">
        <f>G25</f>
        <v>0.020333838000000104</v>
      </c>
      <c r="I23" s="474">
        <f t="shared" si="0"/>
        <v>20.333838000000103</v>
      </c>
      <c r="J23" s="495">
        <f>SUM($I$2:I23)</f>
        <v>7725.140141004145</v>
      </c>
    </row>
    <row r="24" spans="1:10" ht="16.5">
      <c r="A24" s="487">
        <v>28000</v>
      </c>
      <c r="B24" s="487" t="s">
        <v>410</v>
      </c>
      <c r="C24" s="477">
        <v>29000</v>
      </c>
      <c r="G24" s="473"/>
      <c r="H24" s="525">
        <f>H23-(H22-H23)</f>
        <v>0.020130499620000103</v>
      </c>
      <c r="I24" s="474">
        <f t="shared" si="0"/>
        <v>20.1304996200001</v>
      </c>
      <c r="J24" s="495">
        <f>SUM($I$2:I24)</f>
        <v>7745.270640624145</v>
      </c>
    </row>
    <row r="25" spans="1:10" ht="16.5">
      <c r="A25" s="487">
        <v>29000</v>
      </c>
      <c r="B25" s="487" t="s">
        <v>410</v>
      </c>
      <c r="C25" s="469">
        <v>30000</v>
      </c>
      <c r="D25" s="469">
        <f>C25-C20</f>
        <v>5000</v>
      </c>
      <c r="E25" s="497">
        <f>'By-Lot'!G257</f>
        <v>7765.1884500000015</v>
      </c>
      <c r="F25" s="470">
        <f>E25-E20</f>
        <v>101.66919000000053</v>
      </c>
      <c r="G25" s="491">
        <f>F25/D25</f>
        <v>0.020333838000000104</v>
      </c>
      <c r="H25" s="525">
        <f>H23-(H21-H23)</f>
        <v>0.0199251278562001</v>
      </c>
      <c r="I25" s="474">
        <f t="shared" si="0"/>
        <v>19.925127856200103</v>
      </c>
      <c r="J25" s="478">
        <f>SUM($I$2:I25)</f>
        <v>7765.195768480345</v>
      </c>
    </row>
    <row r="26" spans="1:10" ht="16.5">
      <c r="A26" s="487">
        <v>30000</v>
      </c>
      <c r="B26" s="487" t="s">
        <v>410</v>
      </c>
      <c r="C26" s="475">
        <v>31000</v>
      </c>
      <c r="D26" s="477"/>
      <c r="E26" s="474"/>
      <c r="F26" s="483"/>
      <c r="H26" s="525">
        <v>0</v>
      </c>
      <c r="I26" s="474">
        <f t="shared" si="0"/>
        <v>0</v>
      </c>
      <c r="J26" s="495">
        <f>SUM($I$2:I26)</f>
        <v>7765.195768480345</v>
      </c>
    </row>
    <row r="27" spans="1:10" ht="16.5">
      <c r="A27" s="487">
        <v>31000</v>
      </c>
      <c r="B27" s="487" t="s">
        <v>410</v>
      </c>
      <c r="C27" s="477">
        <v>32000</v>
      </c>
      <c r="D27" s="477"/>
      <c r="E27" s="483"/>
      <c r="F27" s="483"/>
      <c r="G27" s="485"/>
      <c r="H27" s="525">
        <v>0</v>
      </c>
      <c r="I27" s="474">
        <f t="shared" si="0"/>
        <v>0</v>
      </c>
      <c r="J27" s="495">
        <f>SUM($I$2:I27)</f>
        <v>7765.195768480345</v>
      </c>
    </row>
    <row r="28" spans="1:10" ht="16.5">
      <c r="A28" s="487">
        <v>32000</v>
      </c>
      <c r="B28" s="487" t="s">
        <v>410</v>
      </c>
      <c r="C28" s="475">
        <v>33000</v>
      </c>
      <c r="H28" s="525">
        <v>0</v>
      </c>
      <c r="I28" s="474">
        <f t="shared" si="0"/>
        <v>0</v>
      </c>
      <c r="J28" s="495">
        <f>SUM($I$2:I28)</f>
        <v>7765.195768480345</v>
      </c>
    </row>
    <row r="29" spans="1:10" ht="16.5">
      <c r="A29" s="487">
        <v>33000</v>
      </c>
      <c r="B29" s="487" t="s">
        <v>410</v>
      </c>
      <c r="C29" s="477">
        <v>34000</v>
      </c>
      <c r="H29" s="525">
        <v>0</v>
      </c>
      <c r="I29" s="474">
        <f t="shared" si="0"/>
        <v>0</v>
      </c>
      <c r="J29" s="495">
        <f>SUM($I$2:I29)</f>
        <v>7765.195768480345</v>
      </c>
    </row>
    <row r="30" spans="1:10" ht="16.5">
      <c r="A30" s="487">
        <v>34000</v>
      </c>
      <c r="B30" s="487" t="s">
        <v>410</v>
      </c>
      <c r="C30" s="475">
        <v>35000</v>
      </c>
      <c r="H30" s="525">
        <v>0</v>
      </c>
      <c r="I30" s="474">
        <f t="shared" si="0"/>
        <v>0</v>
      </c>
      <c r="J30" s="495">
        <f>SUM($I$2:I30)</f>
        <v>7765.195768480345</v>
      </c>
    </row>
    <row r="31" spans="1:10" ht="16.5">
      <c r="A31" s="487">
        <v>35000</v>
      </c>
      <c r="B31" s="487" t="s">
        <v>410</v>
      </c>
      <c r="C31" s="477">
        <v>36000</v>
      </c>
      <c r="H31" s="525">
        <v>0</v>
      </c>
      <c r="I31" s="474">
        <f t="shared" si="0"/>
        <v>0</v>
      </c>
      <c r="J31" s="495">
        <f>SUM($I$2:I31)</f>
        <v>7765.195768480345</v>
      </c>
    </row>
    <row r="32" spans="1:12" s="471" customFormat="1" ht="16.5">
      <c r="A32" s="487">
        <v>36000</v>
      </c>
      <c r="B32" s="487" t="s">
        <v>410</v>
      </c>
      <c r="C32" s="475">
        <v>37000</v>
      </c>
      <c r="D32" s="472"/>
      <c r="E32" s="480"/>
      <c r="F32" s="480"/>
      <c r="G32" s="525"/>
      <c r="H32" s="525">
        <v>0</v>
      </c>
      <c r="I32" s="474">
        <f aca="true" t="shared" si="1" ref="I32:I41">G32*1000</f>
        <v>0</v>
      </c>
      <c r="J32" s="495">
        <f>SUM($I$2:I32)</f>
        <v>7765.195768480345</v>
      </c>
      <c r="K32" s="532"/>
      <c r="L32" s="530"/>
    </row>
    <row r="33" spans="1:12" s="471" customFormat="1" ht="16.5">
      <c r="A33" s="487">
        <v>37000</v>
      </c>
      <c r="B33" s="487" t="s">
        <v>410</v>
      </c>
      <c r="C33" s="477">
        <v>38000</v>
      </c>
      <c r="D33" s="472"/>
      <c r="E33" s="480"/>
      <c r="F33" s="480"/>
      <c r="G33" s="525"/>
      <c r="H33" s="525">
        <v>0</v>
      </c>
      <c r="I33" s="474">
        <f t="shared" si="1"/>
        <v>0</v>
      </c>
      <c r="J33" s="495">
        <f>SUM($I$2:I33)</f>
        <v>7765.195768480345</v>
      </c>
      <c r="K33" s="532"/>
      <c r="L33" s="530"/>
    </row>
    <row r="34" spans="1:12" s="471" customFormat="1" ht="16.5">
      <c r="A34" s="487">
        <v>38000</v>
      </c>
      <c r="B34" s="487" t="s">
        <v>410</v>
      </c>
      <c r="C34" s="475">
        <v>39000</v>
      </c>
      <c r="D34" s="472"/>
      <c r="E34" s="480"/>
      <c r="F34" s="480"/>
      <c r="G34" s="525"/>
      <c r="H34" s="525">
        <v>0</v>
      </c>
      <c r="I34" s="474">
        <f t="shared" si="1"/>
        <v>0</v>
      </c>
      <c r="J34" s="495">
        <f>SUM($I$2:I34)</f>
        <v>7765.195768480345</v>
      </c>
      <c r="K34" s="532"/>
      <c r="L34" s="530"/>
    </row>
    <row r="35" spans="1:12" s="471" customFormat="1" ht="16.5">
      <c r="A35" s="487">
        <v>39000</v>
      </c>
      <c r="B35" s="487" t="s">
        <v>410</v>
      </c>
      <c r="C35" s="477">
        <v>40000</v>
      </c>
      <c r="D35" s="472"/>
      <c r="E35" s="480"/>
      <c r="F35" s="480"/>
      <c r="G35" s="525"/>
      <c r="H35" s="525">
        <v>0</v>
      </c>
      <c r="I35" s="474">
        <f t="shared" si="1"/>
        <v>0</v>
      </c>
      <c r="J35" s="495">
        <f>SUM($I$2:I35)</f>
        <v>7765.195768480345</v>
      </c>
      <c r="K35" s="532"/>
      <c r="L35" s="530"/>
    </row>
    <row r="36" spans="1:12" s="471" customFormat="1" ht="16.5">
      <c r="A36" s="487">
        <v>40000</v>
      </c>
      <c r="B36" s="487" t="s">
        <v>410</v>
      </c>
      <c r="C36" s="475">
        <v>41000</v>
      </c>
      <c r="D36" s="472"/>
      <c r="E36" s="480"/>
      <c r="F36" s="480"/>
      <c r="G36" s="525"/>
      <c r="H36" s="525">
        <v>0</v>
      </c>
      <c r="I36" s="474">
        <f t="shared" si="1"/>
        <v>0</v>
      </c>
      <c r="J36" s="495">
        <f>SUM($I$2:I36)</f>
        <v>7765.195768480345</v>
      </c>
      <c r="K36" s="532"/>
      <c r="L36" s="530"/>
    </row>
    <row r="37" spans="1:12" s="471" customFormat="1" ht="16.5">
      <c r="A37" s="487">
        <v>41000</v>
      </c>
      <c r="B37" s="487" t="s">
        <v>410</v>
      </c>
      <c r="C37" s="477">
        <v>42000</v>
      </c>
      <c r="D37" s="472"/>
      <c r="E37" s="480"/>
      <c r="F37" s="480"/>
      <c r="G37" s="525"/>
      <c r="H37" s="525">
        <v>0</v>
      </c>
      <c r="I37" s="474">
        <f t="shared" si="1"/>
        <v>0</v>
      </c>
      <c r="J37" s="495">
        <f>SUM($I$2:I37)</f>
        <v>7765.195768480345</v>
      </c>
      <c r="K37" s="532"/>
      <c r="L37" s="530"/>
    </row>
    <row r="38" spans="1:12" s="471" customFormat="1" ht="16.5">
      <c r="A38" s="487">
        <v>42000</v>
      </c>
      <c r="B38" s="487" t="s">
        <v>410</v>
      </c>
      <c r="C38" s="475">
        <v>43000</v>
      </c>
      <c r="D38" s="472"/>
      <c r="E38" s="480"/>
      <c r="F38" s="480"/>
      <c r="G38" s="525"/>
      <c r="H38" s="525">
        <v>0</v>
      </c>
      <c r="I38" s="474">
        <f t="shared" si="1"/>
        <v>0</v>
      </c>
      <c r="J38" s="495">
        <f>SUM($I$2:I38)</f>
        <v>7765.195768480345</v>
      </c>
      <c r="K38" s="532"/>
      <c r="L38" s="530"/>
    </row>
    <row r="39" spans="1:12" s="471" customFormat="1" ht="16.5">
      <c r="A39" s="487">
        <v>43000</v>
      </c>
      <c r="B39" s="487" t="s">
        <v>410</v>
      </c>
      <c r="C39" s="477">
        <v>44000</v>
      </c>
      <c r="D39" s="472"/>
      <c r="E39" s="480"/>
      <c r="F39" s="480"/>
      <c r="G39" s="525"/>
      <c r="H39" s="525">
        <v>0</v>
      </c>
      <c r="I39" s="474">
        <f t="shared" si="1"/>
        <v>0</v>
      </c>
      <c r="J39" s="495">
        <f>SUM($I$2:I39)</f>
        <v>7765.195768480345</v>
      </c>
      <c r="K39" s="532"/>
      <c r="L39" s="530"/>
    </row>
    <row r="40" spans="1:12" s="471" customFormat="1" ht="16.5">
      <c r="A40" s="487">
        <v>44000</v>
      </c>
      <c r="B40" s="487" t="s">
        <v>410</v>
      </c>
      <c r="C40" s="475">
        <v>45000</v>
      </c>
      <c r="D40" s="472"/>
      <c r="E40" s="480"/>
      <c r="F40" s="480"/>
      <c r="G40" s="525"/>
      <c r="H40" s="525">
        <v>0</v>
      </c>
      <c r="I40" s="474">
        <f t="shared" si="1"/>
        <v>0</v>
      </c>
      <c r="J40" s="495">
        <f>SUM($I$2:I40)</f>
        <v>7765.195768480345</v>
      </c>
      <c r="K40" s="532"/>
      <c r="L40" s="530"/>
    </row>
    <row r="41" spans="1:12" s="471" customFormat="1" ht="16.5">
      <c r="A41" s="487">
        <v>45000</v>
      </c>
      <c r="B41" s="487" t="s">
        <v>410</v>
      </c>
      <c r="C41" s="477">
        <v>46000</v>
      </c>
      <c r="D41" s="472"/>
      <c r="E41" s="480"/>
      <c r="F41" s="480"/>
      <c r="G41" s="525"/>
      <c r="H41" s="525">
        <v>0</v>
      </c>
      <c r="I41" s="474">
        <f t="shared" si="1"/>
        <v>0</v>
      </c>
      <c r="J41" s="495">
        <f>SUM($I$2:I41)</f>
        <v>7765.195768480345</v>
      </c>
      <c r="K41" s="532"/>
      <c r="L41" s="530"/>
    </row>
    <row r="42" spans="1:12" s="471" customFormat="1" ht="16.5">
      <c r="A42" s="487">
        <v>46000</v>
      </c>
      <c r="B42" s="487" t="s">
        <v>410</v>
      </c>
      <c r="C42" s="475">
        <v>47000</v>
      </c>
      <c r="D42" s="472"/>
      <c r="E42" s="480"/>
      <c r="F42" s="480"/>
      <c r="G42" s="489"/>
      <c r="H42" s="525">
        <v>0</v>
      </c>
      <c r="I42" s="474">
        <f t="shared" si="0"/>
        <v>0</v>
      </c>
      <c r="J42" s="495">
        <f>SUM($I$2:I42)</f>
        <v>7765.195768480345</v>
      </c>
      <c r="K42" s="532"/>
      <c r="L42" s="530"/>
    </row>
    <row r="43" spans="1:12" s="471" customFormat="1" ht="16.5">
      <c r="A43" s="487">
        <v>47000</v>
      </c>
      <c r="B43" s="487" t="s">
        <v>410</v>
      </c>
      <c r="C43" s="477">
        <v>48000</v>
      </c>
      <c r="D43" s="472"/>
      <c r="E43" s="480"/>
      <c r="F43" s="480"/>
      <c r="G43" s="489"/>
      <c r="H43" s="525">
        <v>0</v>
      </c>
      <c r="I43" s="474">
        <f t="shared" si="0"/>
        <v>0</v>
      </c>
      <c r="J43" s="495">
        <f>SUM($I$2:I43)</f>
        <v>7765.195768480345</v>
      </c>
      <c r="K43" s="532"/>
      <c r="L43" s="530"/>
    </row>
    <row r="44" spans="1:12" s="471" customFormat="1" ht="16.5">
      <c r="A44" s="487">
        <v>48000</v>
      </c>
      <c r="B44" s="487" t="s">
        <v>410</v>
      </c>
      <c r="C44" s="475">
        <v>49000</v>
      </c>
      <c r="D44" s="472"/>
      <c r="E44" s="480"/>
      <c r="F44" s="480"/>
      <c r="G44" s="489"/>
      <c r="H44" s="525">
        <v>0</v>
      </c>
      <c r="I44" s="474">
        <f t="shared" si="0"/>
        <v>0</v>
      </c>
      <c r="J44" s="495">
        <f>SUM($I$2:I44)</f>
        <v>7765.195768480345</v>
      </c>
      <c r="K44" s="532"/>
      <c r="L44" s="530"/>
    </row>
    <row r="45" spans="1:12" s="471" customFormat="1" ht="16.5">
      <c r="A45" s="487">
        <v>49000</v>
      </c>
      <c r="B45" s="487" t="s">
        <v>410</v>
      </c>
      <c r="C45" s="477">
        <v>50000</v>
      </c>
      <c r="H45" s="525">
        <v>0</v>
      </c>
      <c r="I45" s="474">
        <f t="shared" si="0"/>
        <v>0</v>
      </c>
      <c r="J45" s="495">
        <f>SUM($I$2:I45)</f>
        <v>7765.195768480345</v>
      </c>
      <c r="K45" s="532"/>
      <c r="L45" s="530"/>
    </row>
    <row r="46" spans="1:10" ht="16.5">
      <c r="A46" s="487">
        <v>50000</v>
      </c>
      <c r="B46" s="487" t="s">
        <v>410</v>
      </c>
      <c r="C46" s="475">
        <v>51000</v>
      </c>
      <c r="H46" s="525">
        <v>0</v>
      </c>
      <c r="I46" s="474">
        <f t="shared" si="0"/>
        <v>0</v>
      </c>
      <c r="J46" s="495">
        <f>SUM($I$2:I46)</f>
        <v>7765.195768480345</v>
      </c>
    </row>
    <row r="47" spans="1:10" ht="16.5">
      <c r="A47" s="487">
        <v>51000</v>
      </c>
      <c r="B47" s="487" t="s">
        <v>410</v>
      </c>
      <c r="C47" s="477">
        <v>52000</v>
      </c>
      <c r="H47" s="525">
        <v>0</v>
      </c>
      <c r="I47" s="474">
        <f t="shared" si="0"/>
        <v>0</v>
      </c>
      <c r="J47" s="495">
        <f>SUM($I$2:I47)</f>
        <v>7765.195768480345</v>
      </c>
    </row>
    <row r="48" spans="1:12" s="484" customFormat="1" ht="16.5">
      <c r="A48" s="487">
        <v>52000</v>
      </c>
      <c r="B48" s="487" t="s">
        <v>410</v>
      </c>
      <c r="C48" s="475">
        <v>53000</v>
      </c>
      <c r="D48" s="477"/>
      <c r="E48" s="480"/>
      <c r="F48" s="483"/>
      <c r="G48" s="489"/>
      <c r="H48" s="525">
        <v>0</v>
      </c>
      <c r="I48" s="474">
        <f t="shared" si="0"/>
        <v>0</v>
      </c>
      <c r="J48" s="495">
        <f>SUM($I$2:I48)</f>
        <v>7765.195768480345</v>
      </c>
      <c r="K48" s="532"/>
      <c r="L48" s="530"/>
    </row>
    <row r="49" spans="1:10" ht="16.5">
      <c r="A49" s="487">
        <v>53000</v>
      </c>
      <c r="B49" s="487" t="s">
        <v>410</v>
      </c>
      <c r="C49" s="477">
        <v>54000</v>
      </c>
      <c r="H49" s="525">
        <v>0</v>
      </c>
      <c r="I49" s="474">
        <f t="shared" si="0"/>
        <v>0</v>
      </c>
      <c r="J49" s="495">
        <f>SUM($I$2:I49)</f>
        <v>7765.195768480345</v>
      </c>
    </row>
    <row r="50" spans="1:10" ht="16.5">
      <c r="A50" s="487">
        <v>54000</v>
      </c>
      <c r="B50" s="487" t="s">
        <v>410</v>
      </c>
      <c r="C50" s="475">
        <v>55000</v>
      </c>
      <c r="H50" s="525">
        <v>0</v>
      </c>
      <c r="I50" s="474">
        <f t="shared" si="0"/>
        <v>0</v>
      </c>
      <c r="J50" s="495">
        <f>SUM($I$2:I50)</f>
        <v>7765.195768480345</v>
      </c>
    </row>
    <row r="51" spans="1:10" ht="16.5">
      <c r="A51" s="487">
        <v>55000</v>
      </c>
      <c r="B51" s="487" t="s">
        <v>410</v>
      </c>
      <c r="C51" s="475">
        <v>56000</v>
      </c>
      <c r="H51" s="525">
        <v>0</v>
      </c>
      <c r="I51" s="474">
        <f t="shared" si="0"/>
        <v>0</v>
      </c>
      <c r="J51" s="495">
        <f>SUM($I$2:I51)</f>
        <v>7765.195768480345</v>
      </c>
    </row>
    <row r="59" spans="1:12" s="484" customFormat="1" ht="16.5">
      <c r="A59" s="487"/>
      <c r="B59" s="487"/>
      <c r="C59" s="477"/>
      <c r="D59" s="477"/>
      <c r="E59" s="483"/>
      <c r="F59" s="483"/>
      <c r="G59" s="476"/>
      <c r="H59" s="525"/>
      <c r="I59" s="474"/>
      <c r="J59" s="471"/>
      <c r="K59" s="532"/>
      <c r="L59" s="530"/>
    </row>
    <row r="130" ht="16.5">
      <c r="D130" s="529"/>
    </row>
  </sheetData>
  <printOptions gridLines="1" horizontalCentered="1"/>
  <pageMargins left="0.5" right="0.25" top="1" bottom="0.5" header="0.5" footer="0.5"/>
  <pageSetup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65"/>
  <sheetViews>
    <sheetView zoomScale="140" zoomScaleNormal="140" workbookViewId="0" topLeftCell="B1">
      <pane ySplit="5" topLeftCell="BM6" activePane="bottomLeft" state="frozen"/>
      <selection pane="topLeft" activeCell="A1" sqref="A1"/>
      <selection pane="bottomLeft" activeCell="V1" sqref="V1"/>
    </sheetView>
  </sheetViews>
  <sheetFormatPr defaultColWidth="11.421875" defaultRowHeight="12.75"/>
  <cols>
    <col min="1" max="1" width="36.00390625" style="0" customWidth="1"/>
    <col min="3" max="3" width="9.421875" style="0" customWidth="1"/>
    <col min="5" max="5" width="7.8515625" style="0" customWidth="1"/>
    <col min="6" max="6" width="7.7109375" style="0" customWidth="1"/>
    <col min="7" max="7" width="6.140625" style="0" customWidth="1"/>
    <col min="8" max="8" width="5.28125" style="421" customWidth="1"/>
    <col min="9" max="12" width="6.7109375" style="421" customWidth="1"/>
    <col min="13" max="13" width="14.7109375" style="352" customWidth="1"/>
    <col min="14" max="14" width="14.421875" style="190" customWidth="1"/>
    <col min="15" max="15" width="9.140625" style="106" customWidth="1"/>
    <col min="16" max="16" width="10.8515625" style="420" customWidth="1"/>
    <col min="17" max="17" width="18.28125" style="172" customWidth="1"/>
    <col min="18" max="18" width="8.28125" style="173" customWidth="1"/>
    <col min="19" max="19" width="10.8515625" style="286" customWidth="1"/>
    <col min="20" max="20" width="10.8515625" style="174" customWidth="1"/>
    <col min="21" max="21" width="10.8515625" style="110" customWidth="1"/>
    <col min="22" max="22" width="11.140625" style="396" customWidth="1"/>
    <col min="23" max="23" width="11.140625" style="315" bestFit="1" customWidth="1"/>
    <col min="24" max="24" width="10.8515625" style="315" customWidth="1"/>
    <col min="25" max="26" width="10.8515625" style="110" customWidth="1"/>
    <col min="27" max="27" width="13.28125" style="110" customWidth="1"/>
    <col min="28" max="28" width="10.8515625" style="110" customWidth="1"/>
    <col min="29" max="29" width="13.421875" style="110" customWidth="1"/>
    <col min="30" max="30" width="14.140625" style="190" customWidth="1"/>
    <col min="40" max="40" width="10.8515625" style="468" customWidth="1"/>
  </cols>
  <sheetData>
    <row r="1" spans="1:41" ht="15.75">
      <c r="A1" s="153"/>
      <c r="B1" s="200"/>
      <c r="C1" s="100"/>
      <c r="D1" s="100"/>
      <c r="E1" s="100"/>
      <c r="F1" s="106" t="s">
        <v>102</v>
      </c>
      <c r="G1" s="116" t="s">
        <v>259</v>
      </c>
      <c r="H1" s="101" t="s">
        <v>205</v>
      </c>
      <c r="I1" s="102" t="s">
        <v>206</v>
      </c>
      <c r="J1" s="512"/>
      <c r="K1" s="582" t="s">
        <v>320</v>
      </c>
      <c r="L1" s="104" t="s">
        <v>202</v>
      </c>
      <c r="M1" s="338"/>
      <c r="N1" s="191"/>
      <c r="P1" s="691" t="s">
        <v>97</v>
      </c>
      <c r="Q1" s="105"/>
      <c r="R1" s="182"/>
      <c r="S1" s="285"/>
      <c r="T1" s="118" t="s">
        <v>93</v>
      </c>
      <c r="U1" s="607"/>
      <c r="V1" s="463"/>
      <c r="W1" s="316"/>
      <c r="X1" s="337" t="s">
        <v>141</v>
      </c>
      <c r="Y1" s="108"/>
      <c r="Z1" s="108"/>
      <c r="AA1" s="108"/>
      <c r="AB1" s="108"/>
      <c r="AC1" s="108"/>
      <c r="AD1" s="109" t="s">
        <v>174</v>
      </c>
      <c r="AE1" s="12"/>
      <c r="AF1" s="12"/>
      <c r="AG1" s="203"/>
      <c r="AH1" s="203"/>
      <c r="AI1" s="464"/>
      <c r="AJ1" s="108"/>
      <c r="AK1" s="108"/>
      <c r="AL1" s="465"/>
      <c r="AM1" s="466"/>
      <c r="AN1" s="467"/>
      <c r="AO1" s="463"/>
    </row>
    <row r="2" spans="1:34" ht="15.75">
      <c r="A2" s="201"/>
      <c r="B2" s="200"/>
      <c r="C2" s="100"/>
      <c r="D2" s="100"/>
      <c r="E2" s="100"/>
      <c r="F2" s="109" t="s">
        <v>101</v>
      </c>
      <c r="G2" s="116" t="s">
        <v>120</v>
      </c>
      <c r="H2" s="101" t="s">
        <v>175</v>
      </c>
      <c r="I2" s="111" t="s">
        <v>291</v>
      </c>
      <c r="J2" s="582" t="s">
        <v>320</v>
      </c>
      <c r="K2" s="112" t="s">
        <v>321</v>
      </c>
      <c r="L2" s="104" t="s">
        <v>265</v>
      </c>
      <c r="M2" s="338"/>
      <c r="N2" s="106"/>
      <c r="P2" s="464" t="s">
        <v>98</v>
      </c>
      <c r="Q2" s="105"/>
      <c r="R2" s="182"/>
      <c r="S2" s="285"/>
      <c r="T2" s="118" t="s">
        <v>94</v>
      </c>
      <c r="U2" s="612" t="s">
        <v>20</v>
      </c>
      <c r="V2" s="463"/>
      <c r="W2" s="113"/>
      <c r="X2" s="580" t="s">
        <v>313</v>
      </c>
      <c r="Y2" s="108"/>
      <c r="Z2" s="108"/>
      <c r="AB2" s="108"/>
      <c r="AC2" s="108"/>
      <c r="AD2" s="109" t="s">
        <v>58</v>
      </c>
      <c r="AE2" s="12"/>
      <c r="AF2" s="12"/>
      <c r="AG2" s="12"/>
      <c r="AH2" s="12"/>
    </row>
    <row r="3" spans="1:34" ht="15.75">
      <c r="A3" s="153"/>
      <c r="B3" s="559"/>
      <c r="C3" s="114"/>
      <c r="D3" s="115"/>
      <c r="E3" s="114"/>
      <c r="F3" s="116" t="s">
        <v>198</v>
      </c>
      <c r="G3" s="121" t="s">
        <v>243</v>
      </c>
      <c r="H3" s="101" t="s">
        <v>260</v>
      </c>
      <c r="I3" s="111" t="s">
        <v>261</v>
      </c>
      <c r="J3" s="583" t="s">
        <v>323</v>
      </c>
      <c r="K3" s="112" t="s">
        <v>262</v>
      </c>
      <c r="L3" s="104" t="s">
        <v>253</v>
      </c>
      <c r="M3" s="339"/>
      <c r="N3" s="122" t="s">
        <v>282</v>
      </c>
      <c r="P3" s="691" t="s">
        <v>99</v>
      </c>
      <c r="Q3" s="117"/>
      <c r="R3" s="578" t="s">
        <v>4</v>
      </c>
      <c r="S3" s="11"/>
      <c r="T3" s="118" t="s">
        <v>95</v>
      </c>
      <c r="U3" s="613" t="s">
        <v>282</v>
      </c>
      <c r="V3" s="394" t="s">
        <v>168</v>
      </c>
      <c r="W3" s="119" t="s">
        <v>346</v>
      </c>
      <c r="X3" s="335" t="s">
        <v>21</v>
      </c>
      <c r="Y3" s="11" t="s">
        <v>17</v>
      </c>
      <c r="Z3" s="120" t="s">
        <v>18</v>
      </c>
      <c r="AA3" s="11" t="s">
        <v>415</v>
      </c>
      <c r="AB3" s="11" t="s">
        <v>57</v>
      </c>
      <c r="AC3" s="11" t="s">
        <v>56</v>
      </c>
      <c r="AD3" s="11" t="s">
        <v>194</v>
      </c>
      <c r="AE3" s="12"/>
      <c r="AF3" s="12"/>
      <c r="AG3" s="12"/>
      <c r="AH3" s="12"/>
    </row>
    <row r="4" spans="1:34" ht="15.75">
      <c r="A4" s="12"/>
      <c r="B4" s="560" t="s">
        <v>195</v>
      </c>
      <c r="F4" s="106" t="s">
        <v>119</v>
      </c>
      <c r="G4" s="572" t="s">
        <v>349</v>
      </c>
      <c r="H4" s="101" t="s">
        <v>267</v>
      </c>
      <c r="I4" s="111" t="s">
        <v>268</v>
      </c>
      <c r="J4" s="112" t="s">
        <v>321</v>
      </c>
      <c r="K4" s="112" t="s">
        <v>333</v>
      </c>
      <c r="L4" s="104" t="s">
        <v>334</v>
      </c>
      <c r="M4" s="340"/>
      <c r="N4" s="122" t="s">
        <v>283</v>
      </c>
      <c r="P4" s="293" t="s">
        <v>100</v>
      </c>
      <c r="Q4" s="11" t="s">
        <v>255</v>
      </c>
      <c r="R4" s="578" t="s">
        <v>5</v>
      </c>
      <c r="S4" s="119"/>
      <c r="T4" s="118" t="s">
        <v>258</v>
      </c>
      <c r="U4" s="613" t="s">
        <v>283</v>
      </c>
      <c r="V4" s="690">
        <v>11.666</v>
      </c>
      <c r="W4" s="119" t="s">
        <v>240</v>
      </c>
      <c r="X4" s="335" t="s">
        <v>208</v>
      </c>
      <c r="Y4" s="120">
        <f>Ctrl!L2</f>
        <v>0.03</v>
      </c>
      <c r="Z4" s="120">
        <f>Ctrl!M2</f>
        <v>0.017</v>
      </c>
      <c r="AA4" s="120">
        <f>Ctrl!N2</f>
        <v>0.016</v>
      </c>
      <c r="AB4" s="123">
        <f>Ctrl!O2</f>
        <v>0.003</v>
      </c>
      <c r="AC4" s="120">
        <f>Ctrl!P2</f>
        <v>0.1285</v>
      </c>
      <c r="AD4" s="11" t="s">
        <v>335</v>
      </c>
      <c r="AE4" s="12"/>
      <c r="AF4" s="12"/>
      <c r="AG4" s="12"/>
      <c r="AH4" s="12"/>
    </row>
    <row r="5" spans="2:34" ht="15.75">
      <c r="B5" s="100"/>
      <c r="C5" s="121" t="s">
        <v>121</v>
      </c>
      <c r="D5" s="124" t="s">
        <v>122</v>
      </c>
      <c r="E5" s="121" t="s">
        <v>66</v>
      </c>
      <c r="F5" s="121" t="s">
        <v>242</v>
      </c>
      <c r="G5" s="570" t="s">
        <v>348</v>
      </c>
      <c r="H5" s="101" t="s">
        <v>244</v>
      </c>
      <c r="I5" s="111" t="s">
        <v>245</v>
      </c>
      <c r="J5" s="112" t="s">
        <v>322</v>
      </c>
      <c r="K5" s="112" t="s">
        <v>123</v>
      </c>
      <c r="L5" s="104" t="s">
        <v>268</v>
      </c>
      <c r="M5" s="339"/>
      <c r="N5" s="106" t="s">
        <v>158</v>
      </c>
      <c r="O5" s="106" t="s">
        <v>6</v>
      </c>
      <c r="P5" s="293" t="s">
        <v>96</v>
      </c>
      <c r="Q5" s="11" t="s">
        <v>344</v>
      </c>
      <c r="R5" s="578" t="s">
        <v>187</v>
      </c>
      <c r="S5" s="11" t="s">
        <v>124</v>
      </c>
      <c r="T5" s="118" t="s">
        <v>394</v>
      </c>
      <c r="U5" s="614" t="s">
        <v>92</v>
      </c>
      <c r="V5" s="394" t="s">
        <v>169</v>
      </c>
      <c r="W5" s="119" t="s">
        <v>16</v>
      </c>
      <c r="X5" s="336" t="s">
        <v>157</v>
      </c>
      <c r="Y5" s="125" t="s">
        <v>12</v>
      </c>
      <c r="Z5" s="125" t="s">
        <v>12</v>
      </c>
      <c r="AA5" s="125" t="s">
        <v>395</v>
      </c>
      <c r="AB5" s="125"/>
      <c r="AC5" s="120" t="s">
        <v>13</v>
      </c>
      <c r="AD5" s="11" t="s">
        <v>142</v>
      </c>
      <c r="AE5" s="12"/>
      <c r="AF5" s="12"/>
      <c r="AG5" s="12"/>
      <c r="AH5" s="12"/>
    </row>
    <row r="6" spans="2:34" ht="15.75">
      <c r="B6" s="126">
        <v>648</v>
      </c>
      <c r="C6" s="127">
        <v>2314</v>
      </c>
      <c r="D6" s="128" t="s">
        <v>87</v>
      </c>
      <c r="E6" s="127">
        <v>60</v>
      </c>
      <c r="F6" s="129">
        <v>7116</v>
      </c>
      <c r="G6" s="127">
        <v>1</v>
      </c>
      <c r="H6" s="130">
        <v>0</v>
      </c>
      <c r="I6" s="130">
        <f>'Per-Ft'!$L$16</f>
        <v>254.17297500000132</v>
      </c>
      <c r="J6" s="130">
        <v>0</v>
      </c>
      <c r="K6" s="130">
        <v>0</v>
      </c>
      <c r="L6" s="131"/>
      <c r="M6" s="341">
        <f>'Per-Ft'!J2</f>
        <v>6494.323575000001</v>
      </c>
      <c r="N6" s="326">
        <f>M6+H6+I6-J6-K6-L6</f>
        <v>6748.496550000003</v>
      </c>
      <c r="P6" s="292"/>
      <c r="Q6" s="105"/>
      <c r="R6" s="107"/>
      <c r="S6" s="285"/>
      <c r="T6" s="593"/>
      <c r="U6" s="607"/>
      <c r="V6" s="463"/>
      <c r="W6" s="316"/>
      <c r="X6" s="316"/>
      <c r="Y6" s="108"/>
      <c r="Z6" s="108"/>
      <c r="AA6" s="108"/>
      <c r="AB6" s="108"/>
      <c r="AC6" s="108"/>
      <c r="AD6" s="132">
        <f aca="true" t="shared" si="0" ref="AD6:AD37">N6+U6</f>
        <v>6748.496550000003</v>
      </c>
      <c r="AE6" s="12"/>
      <c r="AF6" s="12"/>
      <c r="AG6" s="12"/>
      <c r="AH6" s="12"/>
    </row>
    <row r="7" spans="2:40" ht="15.75">
      <c r="B7" s="126">
        <v>624</v>
      </c>
      <c r="C7" s="133">
        <v>2214</v>
      </c>
      <c r="D7" s="134" t="s">
        <v>153</v>
      </c>
      <c r="E7" s="127">
        <v>35</v>
      </c>
      <c r="F7" s="129">
        <v>8271</v>
      </c>
      <c r="G7" s="127">
        <v>1</v>
      </c>
      <c r="H7" s="130">
        <v>0</v>
      </c>
      <c r="I7" s="130">
        <v>0</v>
      </c>
      <c r="J7" s="130">
        <v>0</v>
      </c>
      <c r="K7" s="130">
        <v>0</v>
      </c>
      <c r="L7" s="131"/>
      <c r="M7" s="341">
        <f>'Per-Ft'!$J$3+('Rent-List'!F7-8000)*'Per-Ft'!$H$4</f>
        <v>6596.121541049967</v>
      </c>
      <c r="N7" s="326">
        <f aca="true" t="shared" si="1" ref="N7:N70">M7+H7+I7-J7-K7-L7</f>
        <v>6596.121541049967</v>
      </c>
      <c r="P7" s="292"/>
      <c r="Q7" s="105"/>
      <c r="R7" s="107"/>
      <c r="S7" s="285"/>
      <c r="T7" s="593"/>
      <c r="U7" s="607"/>
      <c r="V7" s="463"/>
      <c r="W7" s="316"/>
      <c r="X7" s="316"/>
      <c r="Y7" s="108"/>
      <c r="Z7" s="108"/>
      <c r="AA7" s="108"/>
      <c r="AB7" s="108"/>
      <c r="AC7" s="108"/>
      <c r="AD7" s="132">
        <f t="shared" si="0"/>
        <v>6596.121541049967</v>
      </c>
      <c r="AE7" s="12"/>
      <c r="AF7" s="12"/>
      <c r="AG7" s="12"/>
      <c r="AH7" s="12"/>
      <c r="AN7"/>
    </row>
    <row r="8" spans="1:40" ht="15.75">
      <c r="A8" s="135" t="s">
        <v>67</v>
      </c>
      <c r="B8" s="136">
        <v>569</v>
      </c>
      <c r="C8" s="136">
        <v>2003</v>
      </c>
      <c r="D8" s="137" t="s">
        <v>68</v>
      </c>
      <c r="E8" s="136">
        <v>127.5</v>
      </c>
      <c r="F8" s="138">
        <v>8718</v>
      </c>
      <c r="G8" s="136">
        <v>2</v>
      </c>
      <c r="H8" s="139">
        <v>0</v>
      </c>
      <c r="I8" s="140">
        <v>0</v>
      </c>
      <c r="J8" s="140">
        <v>0</v>
      </c>
      <c r="K8" s="140">
        <v>0</v>
      </c>
      <c r="L8" s="141"/>
      <c r="M8" s="537">
        <f>'Per-Ft'!$J$3+('Rent-List'!F8-8000)*'Per-Ft'!$H$4</f>
        <v>6635.517771384431</v>
      </c>
      <c r="N8" s="326">
        <f t="shared" si="1"/>
        <v>6635.517771384431</v>
      </c>
      <c r="O8" s="142">
        <v>127.5</v>
      </c>
      <c r="P8" s="294">
        <v>6058</v>
      </c>
      <c r="Q8" s="409" t="s">
        <v>288</v>
      </c>
      <c r="R8" s="144">
        <v>975</v>
      </c>
      <c r="S8" s="154" t="s">
        <v>82</v>
      </c>
      <c r="T8" s="145">
        <v>950</v>
      </c>
      <c r="U8" s="317">
        <f>V8-Y8+Z8-AA8-AB8-AC8</f>
        <v>4687.373050000001</v>
      </c>
      <c r="V8" s="395">
        <f>T8*$V$4</f>
        <v>11082.7</v>
      </c>
      <c r="W8" s="317">
        <v>155350</v>
      </c>
      <c r="X8" s="317"/>
      <c r="Y8" s="146">
        <f>W8*$Y$4</f>
        <v>4660.5</v>
      </c>
      <c r="Z8" s="146">
        <f>W8*$Z$4</f>
        <v>2640.9500000000003</v>
      </c>
      <c r="AA8" s="146">
        <f>W8*$AA$4</f>
        <v>2485.6</v>
      </c>
      <c r="AB8" s="317">
        <f>W8*$AB$4</f>
        <v>466.05</v>
      </c>
      <c r="AC8" s="395">
        <f>V8*$AC$4</f>
        <v>1424.12695</v>
      </c>
      <c r="AD8" s="156">
        <f t="shared" si="0"/>
        <v>11322.890821384433</v>
      </c>
      <c r="AE8" s="12"/>
      <c r="AF8" s="12"/>
      <c r="AG8" s="12"/>
      <c r="AH8" s="12"/>
      <c r="AN8"/>
    </row>
    <row r="9" spans="2:40" ht="15.75">
      <c r="B9" s="126">
        <v>619</v>
      </c>
      <c r="C9" s="127">
        <v>2009</v>
      </c>
      <c r="D9" s="128" t="s">
        <v>164</v>
      </c>
      <c r="E9" s="127">
        <v>24.5</v>
      </c>
      <c r="F9" s="129">
        <v>8997</v>
      </c>
      <c r="G9" s="127">
        <v>1</v>
      </c>
      <c r="H9" s="130">
        <v>0</v>
      </c>
      <c r="I9" s="130">
        <v>0</v>
      </c>
      <c r="J9" s="130">
        <v>0</v>
      </c>
      <c r="K9" s="130">
        <v>0</v>
      </c>
      <c r="L9" s="131"/>
      <c r="M9" s="341">
        <f>'Per-Ft'!$J$3+('Rent-List'!F9-8000)*'Per-Ft'!$H$4</f>
        <v>6660.107364814668</v>
      </c>
      <c r="N9" s="326">
        <f t="shared" si="1"/>
        <v>6660.107364814668</v>
      </c>
      <c r="P9" s="292"/>
      <c r="Q9" s="105"/>
      <c r="R9" s="107"/>
      <c r="S9" s="285"/>
      <c r="T9" s="593"/>
      <c r="U9" s="607"/>
      <c r="V9" s="463"/>
      <c r="W9" s="316"/>
      <c r="X9" s="316"/>
      <c r="Y9" s="108"/>
      <c r="Z9" s="108"/>
      <c r="AA9" s="108"/>
      <c r="AB9" s="108"/>
      <c r="AC9" s="108"/>
      <c r="AD9" s="132">
        <f t="shared" si="0"/>
        <v>6660.107364814668</v>
      </c>
      <c r="AE9" s="12"/>
      <c r="AF9" s="12"/>
      <c r="AG9" s="12"/>
      <c r="AH9" s="12"/>
      <c r="AN9"/>
    </row>
    <row r="10" spans="2:40" ht="15.75">
      <c r="B10" s="147">
        <v>563</v>
      </c>
      <c r="C10" s="147">
        <v>2101</v>
      </c>
      <c r="D10" s="148" t="s">
        <v>162</v>
      </c>
      <c r="E10" s="147">
        <v>101.75</v>
      </c>
      <c r="F10" s="149">
        <v>9335</v>
      </c>
      <c r="G10" s="147">
        <v>1</v>
      </c>
      <c r="H10" s="150">
        <v>0</v>
      </c>
      <c r="I10" s="151">
        <v>0</v>
      </c>
      <c r="J10" s="151">
        <v>0</v>
      </c>
      <c r="K10" s="151">
        <v>0</v>
      </c>
      <c r="L10" s="131"/>
      <c r="M10" s="341">
        <f>'Per-Ft'!$J$4+('Rent-List'!F10-9000)*'Per-Ft'!$H$5</f>
        <v>6689.896022355907</v>
      </c>
      <c r="N10" s="326">
        <f t="shared" si="1"/>
        <v>6689.896022355907</v>
      </c>
      <c r="P10" s="292"/>
      <c r="Q10" s="105"/>
      <c r="R10" s="107"/>
      <c r="S10" s="285"/>
      <c r="T10" s="593"/>
      <c r="U10" s="607"/>
      <c r="V10" s="463"/>
      <c r="W10" s="316"/>
      <c r="X10" s="316"/>
      <c r="Y10" s="108"/>
      <c r="Z10" s="108"/>
      <c r="AA10" s="108"/>
      <c r="AB10" s="108"/>
      <c r="AC10" s="108"/>
      <c r="AD10" s="132">
        <f t="shared" si="0"/>
        <v>6689.896022355907</v>
      </c>
      <c r="AE10" s="12"/>
      <c r="AF10" s="12"/>
      <c r="AG10" s="12"/>
      <c r="AH10" s="12"/>
      <c r="AN10"/>
    </row>
    <row r="11" spans="1:40" ht="15.75">
      <c r="A11" s="135" t="s">
        <v>209</v>
      </c>
      <c r="B11" s="136">
        <v>661</v>
      </c>
      <c r="C11" s="136">
        <v>2318</v>
      </c>
      <c r="D11" s="137" t="s">
        <v>87</v>
      </c>
      <c r="E11" s="136">
        <v>75</v>
      </c>
      <c r="F11" s="138">
        <v>9383</v>
      </c>
      <c r="G11" s="136">
        <v>2</v>
      </c>
      <c r="H11" s="139">
        <v>0</v>
      </c>
      <c r="I11" s="152">
        <f>'Per-Ft'!$L$16</f>
        <v>254.17297500000132</v>
      </c>
      <c r="J11" s="140">
        <v>0</v>
      </c>
      <c r="K11" s="140">
        <v>0</v>
      </c>
      <c r="L11" s="141"/>
      <c r="M11" s="537">
        <f>'Per-Ft'!$J$4+('Rent-List'!F11-9000)*'Per-Ft'!$H$5</f>
        <v>6694.126363128799</v>
      </c>
      <c r="N11" s="326">
        <f t="shared" si="1"/>
        <v>6948.299338128801</v>
      </c>
      <c r="O11" s="142">
        <v>75</v>
      </c>
      <c r="P11" s="294">
        <v>3790</v>
      </c>
      <c r="Q11" s="143" t="s">
        <v>156</v>
      </c>
      <c r="R11" s="144">
        <v>675</v>
      </c>
      <c r="S11" s="154" t="s">
        <v>82</v>
      </c>
      <c r="T11" s="145">
        <v>700</v>
      </c>
      <c r="U11" s="317">
        <f>V11-Y11+Z11-AA11-AB11-AC11</f>
        <v>3807.9473000000007</v>
      </c>
      <c r="V11" s="395">
        <f>T11*$V$4</f>
        <v>8166.2</v>
      </c>
      <c r="W11" s="317">
        <v>103403</v>
      </c>
      <c r="X11" s="317"/>
      <c r="Y11" s="146">
        <f>W11*$Y$4</f>
        <v>3102.0899999999997</v>
      </c>
      <c r="Z11" s="146">
        <f>W11*$Z$4</f>
        <v>1757.851</v>
      </c>
      <c r="AA11" s="146">
        <f>W11*$AA$4</f>
        <v>1654.448</v>
      </c>
      <c r="AB11" s="317">
        <f>W11*$AB$4</f>
        <v>310.209</v>
      </c>
      <c r="AC11" s="395">
        <f>V11*$AC$4</f>
        <v>1049.3567</v>
      </c>
      <c r="AD11" s="156">
        <f t="shared" si="0"/>
        <v>10756.246638128801</v>
      </c>
      <c r="AE11" s="12"/>
      <c r="AF11" s="12"/>
      <c r="AG11" s="12"/>
      <c r="AH11" s="12"/>
      <c r="AN11"/>
    </row>
    <row r="12" spans="2:40" ht="15.75">
      <c r="B12" s="147">
        <v>575</v>
      </c>
      <c r="C12" s="147">
        <v>1906</v>
      </c>
      <c r="D12" s="148" t="s">
        <v>64</v>
      </c>
      <c r="E12" s="147">
        <v>129</v>
      </c>
      <c r="F12" s="149">
        <v>9406</v>
      </c>
      <c r="G12" s="147">
        <v>1</v>
      </c>
      <c r="H12" s="150">
        <v>0</v>
      </c>
      <c r="I12" s="151">
        <v>0</v>
      </c>
      <c r="J12" s="130">
        <v>0</v>
      </c>
      <c r="K12" s="130">
        <f>'Per-Ft'!$L$9</f>
        <v>508.34595000000263</v>
      </c>
      <c r="L12" s="131"/>
      <c r="M12" s="341">
        <f>'Per-Ft'!$J$4+('Rent-List'!F12-9000)*'Per-Ft'!$H$5</f>
        <v>6696.15340141581</v>
      </c>
      <c r="N12" s="326">
        <f t="shared" si="1"/>
        <v>6187.807451415807</v>
      </c>
      <c r="P12" s="292"/>
      <c r="Q12" s="105" t="s">
        <v>357</v>
      </c>
      <c r="R12" s="107"/>
      <c r="S12" s="285"/>
      <c r="T12" s="593"/>
      <c r="U12" s="607"/>
      <c r="V12" s="463"/>
      <c r="W12" s="316"/>
      <c r="X12" s="316"/>
      <c r="Y12" s="108"/>
      <c r="Z12" s="108"/>
      <c r="AA12" s="108"/>
      <c r="AB12" s="108"/>
      <c r="AC12" s="108"/>
      <c r="AD12" s="132">
        <f t="shared" si="0"/>
        <v>6187.807451415807</v>
      </c>
      <c r="AE12" s="12"/>
      <c r="AF12" s="12"/>
      <c r="AG12" s="12"/>
      <c r="AH12" s="12"/>
      <c r="AN12"/>
    </row>
    <row r="13" spans="2:40" ht="15.75">
      <c r="B13" s="147">
        <v>649</v>
      </c>
      <c r="C13" s="147">
        <v>1806</v>
      </c>
      <c r="D13" s="148" t="s">
        <v>65</v>
      </c>
      <c r="E13" s="147">
        <v>61</v>
      </c>
      <c r="F13" s="149">
        <v>9600</v>
      </c>
      <c r="G13" s="147">
        <v>1</v>
      </c>
      <c r="H13" s="150">
        <v>0</v>
      </c>
      <c r="I13" s="151">
        <v>0</v>
      </c>
      <c r="J13" s="151">
        <v>0</v>
      </c>
      <c r="K13" s="151">
        <v>0</v>
      </c>
      <c r="L13" s="131"/>
      <c r="M13" s="341">
        <f>'Per-Ft'!$J$4+('Rent-List'!F13-9000)*'Per-Ft'!$H$5</f>
        <v>6713.251028706247</v>
      </c>
      <c r="N13" s="326">
        <f t="shared" si="1"/>
        <v>6713.251028706247</v>
      </c>
      <c r="P13" s="292"/>
      <c r="Q13" s="105"/>
      <c r="R13" s="107"/>
      <c r="S13" s="285"/>
      <c r="T13" s="593"/>
      <c r="U13" s="607"/>
      <c r="V13" s="463"/>
      <c r="W13" s="316"/>
      <c r="X13" s="316"/>
      <c r="Y13" s="108"/>
      <c r="Z13" s="108"/>
      <c r="AA13" s="108"/>
      <c r="AB13" s="108"/>
      <c r="AC13" s="108"/>
      <c r="AD13" s="132">
        <f t="shared" si="0"/>
        <v>6713.251028706247</v>
      </c>
      <c r="AE13" s="12"/>
      <c r="AF13" s="12"/>
      <c r="AG13" s="12"/>
      <c r="AH13" s="12"/>
      <c r="AN13"/>
    </row>
    <row r="14" spans="2:40" ht="15.75">
      <c r="B14" s="147">
        <v>595</v>
      </c>
      <c r="C14" s="147">
        <v>2107</v>
      </c>
      <c r="D14" s="148" t="s">
        <v>64</v>
      </c>
      <c r="E14" s="147" t="s">
        <v>165</v>
      </c>
      <c r="F14" s="149">
        <v>9615</v>
      </c>
      <c r="G14" s="147">
        <v>1</v>
      </c>
      <c r="H14" s="150">
        <v>0</v>
      </c>
      <c r="I14" s="151">
        <v>0</v>
      </c>
      <c r="J14" s="151">
        <v>0</v>
      </c>
      <c r="K14" s="151">
        <v>0</v>
      </c>
      <c r="L14" s="131"/>
      <c r="M14" s="341">
        <f>'Per-Ft'!$J$4+('Rent-List'!F14-9000)*'Per-Ft'!$H$5</f>
        <v>6714.573010197776</v>
      </c>
      <c r="N14" s="326">
        <f t="shared" si="1"/>
        <v>6714.573010197776</v>
      </c>
      <c r="P14" s="292"/>
      <c r="Q14" s="105"/>
      <c r="R14" s="107"/>
      <c r="S14" s="285"/>
      <c r="T14" s="593"/>
      <c r="U14" s="607"/>
      <c r="V14" s="463"/>
      <c r="W14" s="316"/>
      <c r="X14" s="316"/>
      <c r="Y14" s="108"/>
      <c r="Z14" s="108"/>
      <c r="AA14" s="108"/>
      <c r="AB14" s="108"/>
      <c r="AC14" s="108"/>
      <c r="AD14" s="132">
        <f t="shared" si="0"/>
        <v>6714.573010197776</v>
      </c>
      <c r="AE14" s="12"/>
      <c r="AF14" s="12"/>
      <c r="AG14" s="12"/>
      <c r="AH14" s="12"/>
      <c r="AN14"/>
    </row>
    <row r="15" spans="2:40" ht="15.75">
      <c r="B15" s="147">
        <v>554</v>
      </c>
      <c r="C15" s="147">
        <v>1908</v>
      </c>
      <c r="D15" s="148" t="s">
        <v>68</v>
      </c>
      <c r="E15" s="147" t="s">
        <v>166</v>
      </c>
      <c r="F15" s="149">
        <v>9772</v>
      </c>
      <c r="G15" s="147">
        <v>1</v>
      </c>
      <c r="H15" s="150">
        <v>0</v>
      </c>
      <c r="I15" s="151">
        <v>0</v>
      </c>
      <c r="J15" s="151">
        <v>0</v>
      </c>
      <c r="K15" s="151">
        <v>0</v>
      </c>
      <c r="L15" s="131"/>
      <c r="M15" s="341">
        <f>'Per-Ft'!$J$4+('Rent-List'!F15-9000)*'Per-Ft'!$H$5</f>
        <v>6728.409749809109</v>
      </c>
      <c r="N15" s="326">
        <f t="shared" si="1"/>
        <v>6728.409749809109</v>
      </c>
      <c r="P15" s="292"/>
      <c r="Q15" s="105"/>
      <c r="R15" s="107"/>
      <c r="S15" s="285"/>
      <c r="T15" s="593"/>
      <c r="U15" s="607"/>
      <c r="V15" s="463"/>
      <c r="W15" s="316"/>
      <c r="X15" s="316"/>
      <c r="Y15" s="108"/>
      <c r="Z15" s="108"/>
      <c r="AA15" s="108"/>
      <c r="AB15" s="108"/>
      <c r="AC15" s="108"/>
      <c r="AD15" s="132">
        <f t="shared" si="0"/>
        <v>6728.409749809109</v>
      </c>
      <c r="AE15" s="12"/>
      <c r="AF15" s="12"/>
      <c r="AG15" s="12"/>
      <c r="AH15" s="12"/>
      <c r="AN15"/>
    </row>
    <row r="16" spans="2:40" ht="15.75">
      <c r="B16" s="147">
        <v>570</v>
      </c>
      <c r="C16" s="147">
        <v>1911</v>
      </c>
      <c r="D16" s="148" t="s">
        <v>68</v>
      </c>
      <c r="E16" s="147">
        <v>129.5</v>
      </c>
      <c r="F16" s="149">
        <v>9812</v>
      </c>
      <c r="G16" s="147">
        <v>1</v>
      </c>
      <c r="H16" s="150">
        <v>0</v>
      </c>
      <c r="I16" s="151">
        <v>0</v>
      </c>
      <c r="J16" s="151">
        <v>0</v>
      </c>
      <c r="K16" s="151">
        <v>0</v>
      </c>
      <c r="L16" s="131"/>
      <c r="M16" s="341">
        <f>'Per-Ft'!$J$4+('Rent-List'!F16-9000)*'Per-Ft'!$H$5</f>
        <v>6731.935033786519</v>
      </c>
      <c r="N16" s="326">
        <f t="shared" si="1"/>
        <v>6731.935033786519</v>
      </c>
      <c r="P16" s="292"/>
      <c r="Q16" s="105"/>
      <c r="R16" s="107"/>
      <c r="S16" s="285"/>
      <c r="T16" s="593"/>
      <c r="U16" s="607"/>
      <c r="V16" s="463"/>
      <c r="W16" s="316"/>
      <c r="X16" s="316"/>
      <c r="Y16" s="108"/>
      <c r="Z16" s="108"/>
      <c r="AA16" s="108"/>
      <c r="AB16" s="108"/>
      <c r="AC16" s="108"/>
      <c r="AD16" s="132">
        <f t="shared" si="0"/>
        <v>6731.935033786519</v>
      </c>
      <c r="AE16" s="12"/>
      <c r="AF16" s="12"/>
      <c r="AG16" s="12"/>
      <c r="AH16" s="12"/>
      <c r="AN16"/>
    </row>
    <row r="17" spans="2:40" ht="15.75">
      <c r="B17" s="147">
        <v>650</v>
      </c>
      <c r="C17" s="147">
        <v>1804</v>
      </c>
      <c r="D17" s="148" t="s">
        <v>65</v>
      </c>
      <c r="E17" s="147">
        <v>62</v>
      </c>
      <c r="F17" s="149">
        <v>9891</v>
      </c>
      <c r="G17" s="147">
        <v>1</v>
      </c>
      <c r="H17" s="150">
        <v>0</v>
      </c>
      <c r="I17" s="151">
        <v>0</v>
      </c>
      <c r="J17" s="151">
        <v>0</v>
      </c>
      <c r="K17" s="151">
        <v>0</v>
      </c>
      <c r="L17" s="131"/>
      <c r="M17" s="341">
        <f>'Per-Ft'!$J$4+('Rent-List'!F17-9000)*'Per-Ft'!$H$5</f>
        <v>6738.897469641903</v>
      </c>
      <c r="N17" s="326">
        <f t="shared" si="1"/>
        <v>6738.897469641903</v>
      </c>
      <c r="P17" s="292"/>
      <c r="Q17" s="105"/>
      <c r="R17" s="107"/>
      <c r="S17" s="285"/>
      <c r="T17" s="593"/>
      <c r="U17" s="607"/>
      <c r="V17" s="463"/>
      <c r="W17" s="316"/>
      <c r="X17" s="316"/>
      <c r="Y17" s="108"/>
      <c r="Z17" s="108"/>
      <c r="AA17" s="108"/>
      <c r="AB17" s="108"/>
      <c r="AC17" s="108"/>
      <c r="AD17" s="132">
        <f t="shared" si="0"/>
        <v>6738.897469641903</v>
      </c>
      <c r="AE17" s="12"/>
      <c r="AF17" s="12"/>
      <c r="AG17" s="12"/>
      <c r="AH17" s="12"/>
      <c r="AN17"/>
    </row>
    <row r="18" spans="2:40" ht="15.75">
      <c r="B18" s="147">
        <v>691</v>
      </c>
      <c r="C18" s="147">
        <v>2323</v>
      </c>
      <c r="D18" s="148" t="s">
        <v>134</v>
      </c>
      <c r="E18" s="147" t="s">
        <v>135</v>
      </c>
      <c r="F18" s="149">
        <v>10000</v>
      </c>
      <c r="G18" s="147">
        <v>1</v>
      </c>
      <c r="H18" s="150">
        <v>0</v>
      </c>
      <c r="I18" s="151">
        <v>0</v>
      </c>
      <c r="J18" s="151">
        <v>0</v>
      </c>
      <c r="K18" s="151">
        <v>0</v>
      </c>
      <c r="L18" s="131"/>
      <c r="M18" s="341">
        <f>'Per-Ft'!$J$5+('Rent-List'!F18-10000)*'Per-Ft'!$H$6</f>
        <v>6748.503868480345</v>
      </c>
      <c r="N18" s="326">
        <f t="shared" si="1"/>
        <v>6748.503868480345</v>
      </c>
      <c r="P18" s="292"/>
      <c r="Q18" s="105"/>
      <c r="R18" s="107"/>
      <c r="S18" s="285"/>
      <c r="T18" s="593"/>
      <c r="U18" s="607"/>
      <c r="V18" s="463"/>
      <c r="W18" s="316"/>
      <c r="X18" s="316"/>
      <c r="Y18" s="108"/>
      <c r="Z18" s="108"/>
      <c r="AA18" s="108"/>
      <c r="AB18" s="108"/>
      <c r="AC18" s="108"/>
      <c r="AD18" s="132">
        <f t="shared" si="0"/>
        <v>6748.503868480345</v>
      </c>
      <c r="AE18" s="12"/>
      <c r="AF18" s="12"/>
      <c r="AG18" s="12"/>
      <c r="AH18" s="12"/>
      <c r="AN18"/>
    </row>
    <row r="19" spans="2:40" ht="15.75">
      <c r="B19" s="147">
        <v>687</v>
      </c>
      <c r="C19" s="147">
        <v>1901</v>
      </c>
      <c r="D19" s="148" t="s">
        <v>64</v>
      </c>
      <c r="E19" s="147">
        <v>33.5</v>
      </c>
      <c r="F19" s="149">
        <v>10000</v>
      </c>
      <c r="G19" s="147">
        <v>1</v>
      </c>
      <c r="H19" s="150">
        <v>0</v>
      </c>
      <c r="I19" s="151">
        <v>0</v>
      </c>
      <c r="J19" s="130">
        <v>0</v>
      </c>
      <c r="K19" s="130">
        <f>'Per-Ft'!$L$9</f>
        <v>508.34595000000263</v>
      </c>
      <c r="L19" s="131"/>
      <c r="M19" s="341">
        <f>'Per-Ft'!$J$5+('Rent-List'!F19-10000)*'Per-Ft'!$H$6</f>
        <v>6748.503868480345</v>
      </c>
      <c r="N19" s="326">
        <f t="shared" si="1"/>
        <v>6240.157918480342</v>
      </c>
      <c r="P19" s="292"/>
      <c r="Q19" s="105"/>
      <c r="R19" s="107"/>
      <c r="S19" s="285"/>
      <c r="T19" s="593"/>
      <c r="U19" s="607"/>
      <c r="V19" s="463"/>
      <c r="W19" s="316"/>
      <c r="X19" s="316"/>
      <c r="Y19" s="108"/>
      <c r="Z19" s="108"/>
      <c r="AA19" s="108"/>
      <c r="AB19" s="108"/>
      <c r="AC19" s="108"/>
      <c r="AD19" s="132">
        <f t="shared" si="0"/>
        <v>6240.157918480342</v>
      </c>
      <c r="AE19" s="12"/>
      <c r="AF19" s="12"/>
      <c r="AG19" s="12"/>
      <c r="AH19" s="12"/>
      <c r="AN19"/>
    </row>
    <row r="20" spans="2:40" ht="15.75">
      <c r="B20" s="147">
        <v>510</v>
      </c>
      <c r="C20" s="147">
        <v>2106</v>
      </c>
      <c r="D20" s="148" t="s">
        <v>64</v>
      </c>
      <c r="E20" s="147">
        <v>95.75</v>
      </c>
      <c r="F20" s="149">
        <v>10000</v>
      </c>
      <c r="G20" s="147">
        <v>1</v>
      </c>
      <c r="H20" s="150">
        <v>0</v>
      </c>
      <c r="I20" s="151">
        <v>0</v>
      </c>
      <c r="J20" s="130">
        <v>0</v>
      </c>
      <c r="K20" s="130">
        <f>'Per-Ft'!$L$9</f>
        <v>508.34595000000263</v>
      </c>
      <c r="L20" s="131"/>
      <c r="M20" s="341">
        <f>'Per-Ft'!$J$5+('Rent-List'!F20-10000)*'Per-Ft'!$H$6</f>
        <v>6748.503868480345</v>
      </c>
      <c r="N20" s="326">
        <f t="shared" si="1"/>
        <v>6240.157918480342</v>
      </c>
      <c r="P20" s="292"/>
      <c r="Q20" s="105"/>
      <c r="R20" s="107"/>
      <c r="S20" s="285"/>
      <c r="T20" s="593"/>
      <c r="U20" s="607"/>
      <c r="V20" s="463"/>
      <c r="W20" s="316"/>
      <c r="X20" s="316"/>
      <c r="Y20" s="108"/>
      <c r="Z20" s="108"/>
      <c r="AA20" s="108"/>
      <c r="AB20" s="108"/>
      <c r="AC20" s="108"/>
      <c r="AD20" s="132">
        <f t="shared" si="0"/>
        <v>6240.157918480342</v>
      </c>
      <c r="AE20" s="12"/>
      <c r="AF20" s="12"/>
      <c r="AG20" s="12"/>
      <c r="AH20" s="12"/>
      <c r="AN20"/>
    </row>
    <row r="21" spans="2:40" ht="15.75">
      <c r="B21" s="147">
        <v>600</v>
      </c>
      <c r="C21" s="147">
        <v>2104</v>
      </c>
      <c r="D21" s="148" t="s">
        <v>293</v>
      </c>
      <c r="E21" s="147">
        <v>4</v>
      </c>
      <c r="F21" s="149">
        <v>10000</v>
      </c>
      <c r="G21" s="147">
        <v>1</v>
      </c>
      <c r="H21" s="150">
        <v>0</v>
      </c>
      <c r="I21" s="151">
        <v>0</v>
      </c>
      <c r="J21" s="151">
        <v>0</v>
      </c>
      <c r="K21" s="151">
        <v>0</v>
      </c>
      <c r="L21" s="131"/>
      <c r="M21" s="341">
        <f>'Per-Ft'!$J$5+('Rent-List'!F21-10000)*'Per-Ft'!$H$6</f>
        <v>6748.503868480345</v>
      </c>
      <c r="N21" s="326">
        <f t="shared" si="1"/>
        <v>6748.503868480345</v>
      </c>
      <c r="P21" s="292"/>
      <c r="Q21" s="105"/>
      <c r="R21" s="107"/>
      <c r="S21" s="285"/>
      <c r="T21" s="593"/>
      <c r="U21" s="607"/>
      <c r="V21" s="463"/>
      <c r="W21" s="316"/>
      <c r="X21" s="316"/>
      <c r="Y21" s="108"/>
      <c r="Z21" s="108"/>
      <c r="AA21" s="108"/>
      <c r="AB21" s="108"/>
      <c r="AC21" s="108"/>
      <c r="AD21" s="132">
        <f t="shared" si="0"/>
        <v>6748.503868480345</v>
      </c>
      <c r="AE21" s="12"/>
      <c r="AF21" s="12"/>
      <c r="AG21" s="12"/>
      <c r="AH21" s="12"/>
      <c r="AN21"/>
    </row>
    <row r="22" spans="2:40" ht="15.75">
      <c r="B22" s="147">
        <v>560</v>
      </c>
      <c r="C22" s="147">
        <v>1913</v>
      </c>
      <c r="D22" s="148" t="s">
        <v>294</v>
      </c>
      <c r="E22" s="147">
        <v>124</v>
      </c>
      <c r="F22" s="149">
        <v>10000</v>
      </c>
      <c r="G22" s="147">
        <v>1</v>
      </c>
      <c r="H22" s="150">
        <v>0</v>
      </c>
      <c r="I22" s="151">
        <v>0</v>
      </c>
      <c r="J22" s="151">
        <v>0</v>
      </c>
      <c r="K22" s="151">
        <v>0</v>
      </c>
      <c r="L22" s="131"/>
      <c r="M22" s="341">
        <f>'Per-Ft'!$J$5+('Rent-List'!F22-10000)*'Per-Ft'!$H$6</f>
        <v>6748.503868480345</v>
      </c>
      <c r="N22" s="326">
        <f t="shared" si="1"/>
        <v>6748.503868480345</v>
      </c>
      <c r="P22" s="292"/>
      <c r="Q22" s="105"/>
      <c r="R22" s="107"/>
      <c r="S22" s="285"/>
      <c r="T22" s="593"/>
      <c r="U22" s="607"/>
      <c r="V22" s="463"/>
      <c r="W22" s="316"/>
      <c r="X22" s="316"/>
      <c r="Y22" s="108"/>
      <c r="Z22" s="108"/>
      <c r="AA22" s="108"/>
      <c r="AB22" s="108"/>
      <c r="AC22" s="108"/>
      <c r="AD22" s="132">
        <f t="shared" si="0"/>
        <v>6748.503868480345</v>
      </c>
      <c r="AE22" s="12"/>
      <c r="AF22" s="12"/>
      <c r="AG22" s="12"/>
      <c r="AH22" s="12"/>
      <c r="AN22"/>
    </row>
    <row r="23" spans="2:40" ht="15.75">
      <c r="B23" s="147">
        <v>664</v>
      </c>
      <c r="C23" s="147">
        <v>2328</v>
      </c>
      <c r="D23" s="148" t="s">
        <v>87</v>
      </c>
      <c r="E23" s="147" t="s">
        <v>392</v>
      </c>
      <c r="F23" s="149">
        <v>10000</v>
      </c>
      <c r="G23" s="147">
        <v>1</v>
      </c>
      <c r="H23" s="150">
        <v>0</v>
      </c>
      <c r="I23" s="130">
        <f>'Per-Ft'!$L$16</f>
        <v>254.17297500000132</v>
      </c>
      <c r="J23" s="151">
        <v>0</v>
      </c>
      <c r="K23" s="151">
        <v>0</v>
      </c>
      <c r="L23" s="131"/>
      <c r="M23" s="341">
        <f>'Per-Ft'!$J$5+('Rent-List'!F23-10000)*'Per-Ft'!$H$6</f>
        <v>6748.503868480345</v>
      </c>
      <c r="N23" s="326">
        <f t="shared" si="1"/>
        <v>7002.676843480346</v>
      </c>
      <c r="P23" s="292"/>
      <c r="Q23" s="105"/>
      <c r="R23" s="107"/>
      <c r="S23" s="285"/>
      <c r="T23" s="593"/>
      <c r="U23" s="607"/>
      <c r="V23" s="463"/>
      <c r="W23" s="316"/>
      <c r="X23" s="316"/>
      <c r="Y23" s="108"/>
      <c r="Z23" s="108"/>
      <c r="AA23" s="108"/>
      <c r="AB23" s="108"/>
      <c r="AC23" s="108"/>
      <c r="AD23" s="132">
        <f t="shared" si="0"/>
        <v>7002.676843480346</v>
      </c>
      <c r="AE23" s="12"/>
      <c r="AF23" s="12"/>
      <c r="AG23" s="12"/>
      <c r="AH23" s="12"/>
      <c r="AN23"/>
    </row>
    <row r="24" spans="2:40" ht="15.75">
      <c r="B24" s="147">
        <v>532</v>
      </c>
      <c r="C24" s="147">
        <v>2107</v>
      </c>
      <c r="D24" s="148" t="s">
        <v>295</v>
      </c>
      <c r="E24" s="147">
        <v>113.5</v>
      </c>
      <c r="F24" s="149">
        <v>10000</v>
      </c>
      <c r="G24" s="147">
        <v>1</v>
      </c>
      <c r="H24" s="150">
        <f>'Per-Ft'!$L$19</f>
        <v>508.3459499999999</v>
      </c>
      <c r="I24" s="151">
        <v>0</v>
      </c>
      <c r="J24" s="151">
        <v>0</v>
      </c>
      <c r="K24" s="151">
        <v>0</v>
      </c>
      <c r="L24" s="131"/>
      <c r="M24" s="341">
        <f>'Per-Ft'!$J$5+('Rent-List'!F24-10000)*'Per-Ft'!$H$6</f>
        <v>6748.503868480345</v>
      </c>
      <c r="N24" s="326">
        <f t="shared" si="1"/>
        <v>7256.849818480345</v>
      </c>
      <c r="P24" s="292"/>
      <c r="Q24" s="105"/>
      <c r="R24" s="107"/>
      <c r="S24" s="285"/>
      <c r="T24" s="593"/>
      <c r="U24" s="607"/>
      <c r="V24" s="463"/>
      <c r="W24" s="316"/>
      <c r="X24" s="316"/>
      <c r="Y24" s="108"/>
      <c r="Z24" s="108"/>
      <c r="AA24" s="108"/>
      <c r="AB24" s="108"/>
      <c r="AC24" s="108"/>
      <c r="AD24" s="132">
        <f t="shared" si="0"/>
        <v>7256.849818480345</v>
      </c>
      <c r="AE24" s="12"/>
      <c r="AF24" s="12"/>
      <c r="AG24" s="12"/>
      <c r="AH24" s="12"/>
      <c r="AN24"/>
    </row>
    <row r="25" spans="2:40" ht="15.75">
      <c r="B25" s="147">
        <v>592</v>
      </c>
      <c r="C25" s="147">
        <v>2100</v>
      </c>
      <c r="D25" s="148" t="s">
        <v>293</v>
      </c>
      <c r="E25" s="147">
        <v>6.75</v>
      </c>
      <c r="F25" s="149">
        <v>10001</v>
      </c>
      <c r="G25" s="147">
        <v>1</v>
      </c>
      <c r="H25" s="150">
        <v>0</v>
      </c>
      <c r="I25" s="151">
        <v>0</v>
      </c>
      <c r="J25" s="151">
        <v>0</v>
      </c>
      <c r="K25" s="151">
        <v>0</v>
      </c>
      <c r="L25" s="131"/>
      <c r="M25" s="341">
        <f>'Per-Ft'!$J$5+('Rent-List'!F25-10000)*'Per-Ft'!$H$6</f>
        <v>6748.588489780565</v>
      </c>
      <c r="N25" s="326">
        <f t="shared" si="1"/>
        <v>6748.588489780565</v>
      </c>
      <c r="P25" s="292"/>
      <c r="Q25" s="105"/>
      <c r="R25" s="107"/>
      <c r="S25" s="285"/>
      <c r="T25" s="593"/>
      <c r="U25" s="607"/>
      <c r="V25" s="463"/>
      <c r="W25" s="316"/>
      <c r="X25" s="316"/>
      <c r="Y25" s="108"/>
      <c r="Z25" s="108"/>
      <c r="AA25" s="108"/>
      <c r="AB25" s="108"/>
      <c r="AC25" s="108"/>
      <c r="AD25" s="132">
        <f t="shared" si="0"/>
        <v>6748.588489780565</v>
      </c>
      <c r="AE25" s="12"/>
      <c r="AF25" s="12"/>
      <c r="AG25" s="12"/>
      <c r="AH25" s="12"/>
      <c r="AN25"/>
    </row>
    <row r="26" spans="2:40" ht="15.75">
      <c r="B26" s="147">
        <v>555</v>
      </c>
      <c r="C26" s="147">
        <v>1910</v>
      </c>
      <c r="D26" s="148" t="s">
        <v>68</v>
      </c>
      <c r="E26" s="147" t="s">
        <v>192</v>
      </c>
      <c r="F26" s="149">
        <v>10002</v>
      </c>
      <c r="G26" s="147">
        <v>1</v>
      </c>
      <c r="H26" s="150">
        <v>0</v>
      </c>
      <c r="I26" s="151">
        <v>0</v>
      </c>
      <c r="J26" s="151">
        <v>0</v>
      </c>
      <c r="K26" s="151">
        <v>0</v>
      </c>
      <c r="L26" s="131"/>
      <c r="M26" s="341">
        <f>'Per-Ft'!$J$5+('Rent-List'!F26-10000)*'Per-Ft'!$H$6</f>
        <v>6748.673111080787</v>
      </c>
      <c r="N26" s="326">
        <f t="shared" si="1"/>
        <v>6748.673111080787</v>
      </c>
      <c r="P26" s="292"/>
      <c r="Q26" s="105"/>
      <c r="R26" s="107"/>
      <c r="S26" s="285"/>
      <c r="T26" s="593"/>
      <c r="U26" s="607"/>
      <c r="V26" s="463"/>
      <c r="W26" s="316"/>
      <c r="X26" s="316"/>
      <c r="Y26" s="108"/>
      <c r="Z26" s="108"/>
      <c r="AA26" s="108"/>
      <c r="AB26" s="108"/>
      <c r="AC26" s="108"/>
      <c r="AD26" s="132">
        <f t="shared" si="0"/>
        <v>6748.673111080787</v>
      </c>
      <c r="AE26" s="12"/>
      <c r="AF26" s="12"/>
      <c r="AG26" s="12"/>
      <c r="AH26" s="12"/>
      <c r="AN26"/>
    </row>
    <row r="27" spans="2:40" ht="15.75">
      <c r="B27" s="147">
        <v>695</v>
      </c>
      <c r="C27" s="147">
        <v>1707</v>
      </c>
      <c r="D27" s="148" t="s">
        <v>164</v>
      </c>
      <c r="E27" s="147" t="s">
        <v>193</v>
      </c>
      <c r="F27" s="149">
        <v>10003</v>
      </c>
      <c r="G27" s="147">
        <v>1</v>
      </c>
      <c r="H27" s="150">
        <v>0</v>
      </c>
      <c r="I27" s="151">
        <v>0</v>
      </c>
      <c r="J27" s="151">
        <v>0</v>
      </c>
      <c r="K27" s="151">
        <v>0</v>
      </c>
      <c r="L27" s="131"/>
      <c r="M27" s="341">
        <f>'Per-Ft'!$J$5+('Rent-List'!F27-10000)*'Per-Ft'!$H$6</f>
        <v>6748.757732381007</v>
      </c>
      <c r="N27" s="326">
        <f t="shared" si="1"/>
        <v>6748.757732381007</v>
      </c>
      <c r="P27" s="292"/>
      <c r="Q27" s="105"/>
      <c r="R27" s="107"/>
      <c r="S27" s="285"/>
      <c r="T27" s="593"/>
      <c r="U27" s="607"/>
      <c r="V27" s="463"/>
      <c r="W27" s="316"/>
      <c r="X27" s="316"/>
      <c r="Y27" s="108"/>
      <c r="Z27" s="108"/>
      <c r="AA27" s="108"/>
      <c r="AB27" s="108"/>
      <c r="AC27" s="108"/>
      <c r="AD27" s="132">
        <f t="shared" si="0"/>
        <v>6748.757732381007</v>
      </c>
      <c r="AE27" s="12"/>
      <c r="AF27" s="12"/>
      <c r="AG27" s="12"/>
      <c r="AH27" s="12"/>
      <c r="AN27"/>
    </row>
    <row r="28" spans="2:40" ht="15.75">
      <c r="B28" s="147">
        <v>598</v>
      </c>
      <c r="C28" s="147">
        <v>2203</v>
      </c>
      <c r="D28" s="148" t="s">
        <v>55</v>
      </c>
      <c r="E28" s="147">
        <v>1.5</v>
      </c>
      <c r="F28" s="149">
        <v>10004</v>
      </c>
      <c r="G28" s="147">
        <v>1</v>
      </c>
      <c r="H28" s="150">
        <v>0</v>
      </c>
      <c r="I28" s="151">
        <v>0</v>
      </c>
      <c r="J28" s="130">
        <v>0</v>
      </c>
      <c r="K28" s="130">
        <f>'Per-Ft'!$L$9</f>
        <v>508.34595000000263</v>
      </c>
      <c r="L28" s="131"/>
      <c r="M28" s="341">
        <f>'Per-Ft'!$J$5+('Rent-List'!F28-10000)*'Per-Ft'!$H$6</f>
        <v>6748.842353681228</v>
      </c>
      <c r="N28" s="326">
        <f t="shared" si="1"/>
        <v>6240.496403681225</v>
      </c>
      <c r="P28" s="292"/>
      <c r="Q28" s="105"/>
      <c r="R28" s="107"/>
      <c r="S28" s="285"/>
      <c r="T28" s="593"/>
      <c r="U28" s="607"/>
      <c r="V28" s="463"/>
      <c r="W28" s="316"/>
      <c r="X28" s="316"/>
      <c r="Y28" s="108"/>
      <c r="Z28" s="108"/>
      <c r="AA28" s="108"/>
      <c r="AB28" s="108"/>
      <c r="AC28" s="108"/>
      <c r="AD28" s="132">
        <f t="shared" si="0"/>
        <v>6240.496403681225</v>
      </c>
      <c r="AE28" s="12"/>
      <c r="AF28" s="12"/>
      <c r="AG28" s="12"/>
      <c r="AH28" s="12"/>
      <c r="AN28"/>
    </row>
    <row r="29" spans="2:40" ht="15.75">
      <c r="B29" s="147">
        <v>550</v>
      </c>
      <c r="C29" s="147">
        <v>2128</v>
      </c>
      <c r="D29" s="148" t="s">
        <v>295</v>
      </c>
      <c r="E29" s="147">
        <v>134.5</v>
      </c>
      <c r="F29" s="149">
        <v>10007</v>
      </c>
      <c r="G29" s="147">
        <v>1</v>
      </c>
      <c r="H29" s="150">
        <v>0</v>
      </c>
      <c r="I29" s="151">
        <v>0</v>
      </c>
      <c r="J29" s="151">
        <v>0</v>
      </c>
      <c r="K29" s="151">
        <v>0</v>
      </c>
      <c r="L29" s="131"/>
      <c r="M29" s="341">
        <f>'Per-Ft'!$J$5+('Rent-List'!F29-10000)*'Per-Ft'!$H$6</f>
        <v>6749.09621758189</v>
      </c>
      <c r="N29" s="326">
        <f t="shared" si="1"/>
        <v>6749.09621758189</v>
      </c>
      <c r="P29" s="292"/>
      <c r="Q29" s="105"/>
      <c r="R29" s="107"/>
      <c r="S29" s="285"/>
      <c r="T29" s="593"/>
      <c r="U29" s="607"/>
      <c r="V29" s="463"/>
      <c r="W29" s="316"/>
      <c r="X29" s="316"/>
      <c r="Y29" s="108"/>
      <c r="Z29" s="108"/>
      <c r="AA29" s="108"/>
      <c r="AB29" s="108"/>
      <c r="AC29" s="108"/>
      <c r="AD29" s="132">
        <f t="shared" si="0"/>
        <v>6749.09621758189</v>
      </c>
      <c r="AE29" s="12"/>
      <c r="AF29" s="12"/>
      <c r="AG29" s="12"/>
      <c r="AH29" s="12"/>
      <c r="AN29"/>
    </row>
    <row r="30" spans="2:40" ht="15.75">
      <c r="B30" s="147">
        <v>670</v>
      </c>
      <c r="C30" s="147">
        <v>1613</v>
      </c>
      <c r="D30" s="148" t="s">
        <v>278</v>
      </c>
      <c r="E30" s="147">
        <v>70.5</v>
      </c>
      <c r="F30" s="149">
        <v>10019</v>
      </c>
      <c r="G30" s="147">
        <v>1</v>
      </c>
      <c r="H30" s="150">
        <v>0</v>
      </c>
      <c r="I30" s="151">
        <v>0</v>
      </c>
      <c r="J30" s="151">
        <v>0</v>
      </c>
      <c r="K30" s="151">
        <v>0</v>
      </c>
      <c r="L30" s="131"/>
      <c r="M30" s="341">
        <f>'Per-Ft'!$J$5+('Rent-List'!F30-10000)*'Per-Ft'!$H$6</f>
        <v>6750.11167318454</v>
      </c>
      <c r="N30" s="326">
        <f t="shared" si="1"/>
        <v>6750.11167318454</v>
      </c>
      <c r="P30" s="292"/>
      <c r="Q30" s="105"/>
      <c r="R30" s="107"/>
      <c r="S30" s="285"/>
      <c r="T30" s="593"/>
      <c r="U30" s="607"/>
      <c r="V30" s="463"/>
      <c r="W30" s="316"/>
      <c r="X30" s="316"/>
      <c r="Y30" s="108"/>
      <c r="Z30" s="108"/>
      <c r="AA30" s="108"/>
      <c r="AB30" s="108"/>
      <c r="AC30" s="108"/>
      <c r="AD30" s="132">
        <f t="shared" si="0"/>
        <v>6750.11167318454</v>
      </c>
      <c r="AE30" s="12"/>
      <c r="AF30" s="12"/>
      <c r="AG30" s="12"/>
      <c r="AH30" s="12"/>
      <c r="AN30"/>
    </row>
    <row r="31" spans="2:40" ht="15.75">
      <c r="B31" s="147">
        <v>692</v>
      </c>
      <c r="C31" s="147">
        <v>2307</v>
      </c>
      <c r="D31" s="148" t="s">
        <v>279</v>
      </c>
      <c r="E31" s="147" t="s">
        <v>22</v>
      </c>
      <c r="F31" s="149">
        <v>10019</v>
      </c>
      <c r="G31" s="147">
        <v>1</v>
      </c>
      <c r="H31" s="150">
        <v>0</v>
      </c>
      <c r="I31" s="130">
        <f>'Per-Ft'!$L$16</f>
        <v>254.17297500000132</v>
      </c>
      <c r="J31" s="151">
        <v>0</v>
      </c>
      <c r="K31" s="151">
        <v>0</v>
      </c>
      <c r="L31" s="131"/>
      <c r="M31" s="341">
        <f>'Per-Ft'!$J$5+('Rent-List'!F31-10000)*'Per-Ft'!$H$6</f>
        <v>6750.11167318454</v>
      </c>
      <c r="N31" s="326">
        <f t="shared" si="1"/>
        <v>7004.284648184542</v>
      </c>
      <c r="P31" s="292"/>
      <c r="Q31" s="105"/>
      <c r="R31" s="107"/>
      <c r="S31" s="285"/>
      <c r="T31" s="593"/>
      <c r="U31" s="607"/>
      <c r="V31" s="463"/>
      <c r="W31" s="316"/>
      <c r="X31" s="316"/>
      <c r="Y31" s="108"/>
      <c r="Z31" s="108"/>
      <c r="AA31" s="108"/>
      <c r="AB31" s="108"/>
      <c r="AC31" s="108"/>
      <c r="AD31" s="132">
        <f t="shared" si="0"/>
        <v>7004.284648184542</v>
      </c>
      <c r="AE31" s="12"/>
      <c r="AF31" s="12"/>
      <c r="AG31" s="12"/>
      <c r="AH31" s="12"/>
      <c r="AN31"/>
    </row>
    <row r="32" spans="2:40" ht="15.75">
      <c r="B32" s="147">
        <v>689</v>
      </c>
      <c r="C32" s="147">
        <v>2111</v>
      </c>
      <c r="D32" s="148" t="s">
        <v>64</v>
      </c>
      <c r="E32" s="147" t="s">
        <v>196</v>
      </c>
      <c r="F32" s="149">
        <v>10030</v>
      </c>
      <c r="G32" s="147">
        <v>1</v>
      </c>
      <c r="H32" s="150">
        <v>0</v>
      </c>
      <c r="I32" s="151">
        <v>0</v>
      </c>
      <c r="J32" s="130">
        <v>0</v>
      </c>
      <c r="K32" s="130">
        <f>'Per-Ft'!$L$9</f>
        <v>508.34595000000263</v>
      </c>
      <c r="L32" s="131">
        <f>'Per-Ft'!$L$5</f>
        <v>254.1729750000004</v>
      </c>
      <c r="M32" s="341">
        <f>'Per-Ft'!$J$5+('Rent-List'!F32-10000)*'Per-Ft'!$H$6</f>
        <v>6751.042507486969</v>
      </c>
      <c r="N32" s="326">
        <f t="shared" si="1"/>
        <v>5988.523582486966</v>
      </c>
      <c r="P32" s="292"/>
      <c r="Q32" s="105"/>
      <c r="R32" s="107"/>
      <c r="S32" s="285"/>
      <c r="T32" s="593"/>
      <c r="U32" s="607"/>
      <c r="V32" s="463"/>
      <c r="W32" s="316"/>
      <c r="X32" s="316"/>
      <c r="Y32" s="108"/>
      <c r="Z32" s="108"/>
      <c r="AA32" s="108"/>
      <c r="AB32" s="108"/>
      <c r="AC32" s="108"/>
      <c r="AD32" s="132">
        <f t="shared" si="0"/>
        <v>5988.523582486966</v>
      </c>
      <c r="AE32" s="12"/>
      <c r="AF32" s="12"/>
      <c r="AG32" s="12"/>
      <c r="AH32" s="12"/>
      <c r="AN32"/>
    </row>
    <row r="33" spans="2:40" ht="15.75">
      <c r="B33" s="147">
        <v>561</v>
      </c>
      <c r="C33" s="147">
        <v>1911</v>
      </c>
      <c r="D33" s="148" t="s">
        <v>294</v>
      </c>
      <c r="E33" s="147">
        <v>124.5</v>
      </c>
      <c r="F33" s="149">
        <v>10160</v>
      </c>
      <c r="G33" s="147">
        <v>1</v>
      </c>
      <c r="H33" s="150">
        <v>0</v>
      </c>
      <c r="I33" s="130">
        <f>'Per-Ft'!$L$16</f>
        <v>254.17297500000132</v>
      </c>
      <c r="J33" s="151">
        <v>0</v>
      </c>
      <c r="K33" s="151">
        <v>0</v>
      </c>
      <c r="L33" s="131"/>
      <c r="M33" s="341">
        <f>'Per-Ft'!$J$5+('Rent-List'!F33-10000)*'Per-Ft'!$H$6</f>
        <v>6762.043276515673</v>
      </c>
      <c r="N33" s="326">
        <f t="shared" si="1"/>
        <v>7016.216251515674</v>
      </c>
      <c r="P33" s="292"/>
      <c r="Q33" s="105"/>
      <c r="R33" s="107"/>
      <c r="S33" s="285"/>
      <c r="T33" s="593"/>
      <c r="U33" s="607"/>
      <c r="V33" s="463"/>
      <c r="W33" s="316"/>
      <c r="X33" s="316"/>
      <c r="Y33" s="108"/>
      <c r="Z33" s="108"/>
      <c r="AA33" s="108"/>
      <c r="AB33" s="108"/>
      <c r="AC33" s="108"/>
      <c r="AD33" s="132">
        <f t="shared" si="0"/>
        <v>7016.216251515674</v>
      </c>
      <c r="AE33" s="12"/>
      <c r="AF33" s="12"/>
      <c r="AG33" s="12"/>
      <c r="AH33" s="12"/>
      <c r="AN33"/>
    </row>
    <row r="34" spans="1:40" ht="15.75">
      <c r="A34" s="135" t="s">
        <v>263</v>
      </c>
      <c r="B34" s="136">
        <v>646</v>
      </c>
      <c r="C34" s="136">
        <v>2304</v>
      </c>
      <c r="D34" s="137" t="s">
        <v>87</v>
      </c>
      <c r="E34" s="136">
        <v>55</v>
      </c>
      <c r="F34" s="138">
        <v>10116</v>
      </c>
      <c r="G34" s="136">
        <v>2</v>
      </c>
      <c r="H34" s="139">
        <v>0</v>
      </c>
      <c r="I34" s="152">
        <f>'Per-Ft'!$L$16</f>
        <v>254.17297500000132</v>
      </c>
      <c r="J34" s="140">
        <v>0</v>
      </c>
      <c r="K34" s="140">
        <v>0</v>
      </c>
      <c r="L34" s="141"/>
      <c r="M34" s="537">
        <f>'Per-Ft'!$J$5+('Rent-List'!F34-10000)*'Per-Ft'!$H$6</f>
        <v>6758.319939305958</v>
      </c>
      <c r="N34" s="326">
        <f t="shared" si="1"/>
        <v>7012.492914305959</v>
      </c>
      <c r="O34" s="142">
        <v>55</v>
      </c>
      <c r="P34" s="294">
        <v>2296.4</v>
      </c>
      <c r="Q34" s="143" t="s">
        <v>11</v>
      </c>
      <c r="R34" s="144">
        <v>375</v>
      </c>
      <c r="S34" s="154" t="s">
        <v>54</v>
      </c>
      <c r="T34" s="145">
        <v>525</v>
      </c>
      <c r="U34" s="155">
        <f>V34-Y34+Z34-AA34-AB34-AC34</f>
        <v>3499.264475</v>
      </c>
      <c r="V34" s="395">
        <f>T34*$V$4</f>
        <v>6124.650000000001</v>
      </c>
      <c r="W34" s="317">
        <v>57449</v>
      </c>
      <c r="X34" s="317"/>
      <c r="Y34" s="146">
        <f>W34*$Y$4</f>
        <v>1723.47</v>
      </c>
      <c r="Z34" s="146">
        <f>W34*$Z$4</f>
        <v>976.633</v>
      </c>
      <c r="AA34" s="146">
        <f>W34*$AA$4</f>
        <v>919.184</v>
      </c>
      <c r="AB34" s="317">
        <f>W34*$AB$4</f>
        <v>172.347</v>
      </c>
      <c r="AC34" s="395">
        <f>V34*$AC$4</f>
        <v>787.0175250000001</v>
      </c>
      <c r="AD34" s="156">
        <f t="shared" si="0"/>
        <v>10511.75738930596</v>
      </c>
      <c r="AE34" s="12"/>
      <c r="AF34" s="12"/>
      <c r="AG34" s="12"/>
      <c r="AH34" s="12"/>
      <c r="AN34"/>
    </row>
    <row r="35" spans="2:40" ht="15.75">
      <c r="B35" s="147">
        <v>666</v>
      </c>
      <c r="C35" s="147">
        <v>2319</v>
      </c>
      <c r="D35" s="148" t="s">
        <v>134</v>
      </c>
      <c r="E35" s="147" t="s">
        <v>289</v>
      </c>
      <c r="F35" s="149">
        <v>10169</v>
      </c>
      <c r="G35" s="147">
        <v>1</v>
      </c>
      <c r="H35" s="150">
        <v>0</v>
      </c>
      <c r="I35" s="151">
        <v>0</v>
      </c>
      <c r="J35" s="151">
        <v>0</v>
      </c>
      <c r="K35" s="151">
        <v>0</v>
      </c>
      <c r="L35" s="131"/>
      <c r="M35" s="341">
        <f>'Per-Ft'!$J$5+('Rent-List'!F35-10000)*'Per-Ft'!$H$6</f>
        <v>6762.80486821766</v>
      </c>
      <c r="N35" s="326">
        <f t="shared" si="1"/>
        <v>6762.80486821766</v>
      </c>
      <c r="P35" s="292"/>
      <c r="Q35" s="105"/>
      <c r="R35" s="107"/>
      <c r="S35" s="285"/>
      <c r="T35" s="593"/>
      <c r="U35" s="607"/>
      <c r="V35" s="463"/>
      <c r="W35" s="316"/>
      <c r="X35" s="316"/>
      <c r="Y35" s="108"/>
      <c r="Z35" s="108"/>
      <c r="AA35" s="108"/>
      <c r="AB35" s="108"/>
      <c r="AC35" s="108"/>
      <c r="AD35" s="132">
        <f t="shared" si="0"/>
        <v>6762.80486821766</v>
      </c>
      <c r="AE35" s="12"/>
      <c r="AF35" s="12"/>
      <c r="AG35" s="12"/>
      <c r="AH35" s="12"/>
      <c r="AN35"/>
    </row>
    <row r="36" spans="1:40" ht="15.75">
      <c r="A36" s="277" t="s">
        <v>189</v>
      </c>
      <c r="B36" s="157">
        <v>640</v>
      </c>
      <c r="C36" s="157">
        <v>2206</v>
      </c>
      <c r="D36" s="158" t="s">
        <v>290</v>
      </c>
      <c r="E36" s="157">
        <v>53</v>
      </c>
      <c r="F36" s="159">
        <v>10200</v>
      </c>
      <c r="G36" s="157">
        <v>2</v>
      </c>
      <c r="H36" s="160">
        <v>0</v>
      </c>
      <c r="I36" s="161">
        <v>0</v>
      </c>
      <c r="J36" s="161">
        <v>0</v>
      </c>
      <c r="K36" s="161">
        <v>0</v>
      </c>
      <c r="L36" s="162"/>
      <c r="M36" s="538">
        <f>'Per-Ft'!$J$5+('Rent-List'!F36-10000)*'Per-Ft'!$H$6</f>
        <v>6765.428128524505</v>
      </c>
      <c r="N36" s="326">
        <f t="shared" si="1"/>
        <v>6765.428128524505</v>
      </c>
      <c r="O36" s="277"/>
      <c r="P36" s="297"/>
      <c r="Q36" s="277" t="str">
        <f>A36</f>
        <v>Duplex Rentals</v>
      </c>
      <c r="R36" s="278"/>
      <c r="S36" s="288"/>
      <c r="T36" s="280"/>
      <c r="U36" s="279"/>
      <c r="V36" s="399"/>
      <c r="W36" s="321"/>
      <c r="X36" s="321"/>
      <c r="Y36" s="279"/>
      <c r="Z36" s="279"/>
      <c r="AA36" s="279"/>
      <c r="AB36" s="279"/>
      <c r="AC36" s="279"/>
      <c r="AD36" s="281">
        <f t="shared" si="0"/>
        <v>6765.428128524505</v>
      </c>
      <c r="AE36" s="12"/>
      <c r="AF36" s="12"/>
      <c r="AG36" s="12"/>
      <c r="AH36" s="12"/>
      <c r="AN36"/>
    </row>
    <row r="37" spans="2:40" ht="15.75">
      <c r="B37" s="147">
        <v>505</v>
      </c>
      <c r="C37" s="147">
        <v>2037</v>
      </c>
      <c r="D37" s="148" t="s">
        <v>55</v>
      </c>
      <c r="E37" s="147" t="s">
        <v>399</v>
      </c>
      <c r="F37" s="149">
        <v>10203</v>
      </c>
      <c r="G37" s="147">
        <v>1</v>
      </c>
      <c r="H37" s="150">
        <f>'Per-Ft'!$L$19</f>
        <v>508.3459499999999</v>
      </c>
      <c r="I37" s="151">
        <v>0</v>
      </c>
      <c r="J37" s="151">
        <v>0</v>
      </c>
      <c r="K37" s="151">
        <v>0</v>
      </c>
      <c r="L37" s="131"/>
      <c r="M37" s="341">
        <f>'Per-Ft'!$J$5+('Rent-List'!F37-10000)*'Per-Ft'!$H$6</f>
        <v>6765.681992425168</v>
      </c>
      <c r="N37" s="326">
        <f t="shared" si="1"/>
        <v>7274.027942425168</v>
      </c>
      <c r="P37" s="292"/>
      <c r="Q37" s="105"/>
      <c r="R37" s="107"/>
      <c r="S37" s="285"/>
      <c r="T37" s="593"/>
      <c r="U37" s="607"/>
      <c r="V37" s="463"/>
      <c r="W37" s="316"/>
      <c r="X37" s="316"/>
      <c r="Y37" s="108"/>
      <c r="Z37" s="108"/>
      <c r="AA37" s="108"/>
      <c r="AB37" s="108"/>
      <c r="AC37" s="108"/>
      <c r="AD37" s="132">
        <f t="shared" si="0"/>
        <v>7274.027942425168</v>
      </c>
      <c r="AE37" s="12"/>
      <c r="AF37" s="12"/>
      <c r="AG37" s="12"/>
      <c r="AH37" s="12"/>
      <c r="AN37"/>
    </row>
    <row r="38" spans="2:40" ht="15.75">
      <c r="B38" s="147">
        <v>514</v>
      </c>
      <c r="C38" s="147">
        <v>2107</v>
      </c>
      <c r="D38" s="148" t="s">
        <v>294</v>
      </c>
      <c r="E38" s="147">
        <v>97.5</v>
      </c>
      <c r="F38" s="163">
        <v>10325</v>
      </c>
      <c r="G38" s="147">
        <v>1</v>
      </c>
      <c r="H38" s="150">
        <v>0</v>
      </c>
      <c r="I38" s="151">
        <v>0</v>
      </c>
      <c r="J38" s="151">
        <v>0</v>
      </c>
      <c r="K38" s="151">
        <v>0</v>
      </c>
      <c r="L38" s="131"/>
      <c r="M38" s="341">
        <f>'Per-Ft'!$J$5+('Rent-List'!F38-10000)*'Per-Ft'!$H$6</f>
        <v>6776.0057910521045</v>
      </c>
      <c r="N38" s="326">
        <f t="shared" si="1"/>
        <v>6776.0057910521045</v>
      </c>
      <c r="P38" s="292"/>
      <c r="Q38" s="105"/>
      <c r="R38" s="107"/>
      <c r="S38" s="285"/>
      <c r="T38" s="593"/>
      <c r="U38" s="607"/>
      <c r="V38" s="463"/>
      <c r="W38" s="316"/>
      <c r="X38" s="316"/>
      <c r="Y38" s="108"/>
      <c r="Z38" s="108"/>
      <c r="AA38" s="108"/>
      <c r="AB38" s="108"/>
      <c r="AC38" s="108"/>
      <c r="AD38" s="132">
        <f aca="true" t="shared" si="2" ref="AD38:AD69">N38+U38</f>
        <v>6776.0057910521045</v>
      </c>
      <c r="AE38" s="12"/>
      <c r="AF38" s="12"/>
      <c r="AG38" s="12"/>
      <c r="AH38" s="12"/>
      <c r="AN38"/>
    </row>
    <row r="39" spans="2:40" ht="15.75">
      <c r="B39" s="147">
        <v>639</v>
      </c>
      <c r="C39" s="147">
        <v>2202</v>
      </c>
      <c r="D39" s="148" t="s">
        <v>290</v>
      </c>
      <c r="E39" s="147">
        <v>53.5</v>
      </c>
      <c r="F39" s="149">
        <v>10460</v>
      </c>
      <c r="G39" s="147">
        <v>1</v>
      </c>
      <c r="H39" s="150">
        <v>0</v>
      </c>
      <c r="I39" s="130">
        <f>'Per-Ft'!$L$16</f>
        <v>254.17297500000132</v>
      </c>
      <c r="J39" s="151">
        <v>0</v>
      </c>
      <c r="K39" s="151">
        <v>0</v>
      </c>
      <c r="L39" s="131"/>
      <c r="M39" s="341">
        <f>'Per-Ft'!$J$5+('Rent-List'!F39-10000)*'Per-Ft'!$H$6</f>
        <v>6787.429666581913</v>
      </c>
      <c r="N39" s="326">
        <f t="shared" si="1"/>
        <v>7041.602641581914</v>
      </c>
      <c r="P39" s="292"/>
      <c r="Q39" s="105"/>
      <c r="R39" s="107"/>
      <c r="S39" s="285"/>
      <c r="T39" s="593"/>
      <c r="U39" s="607"/>
      <c r="V39" s="463"/>
      <c r="W39" s="316"/>
      <c r="X39" s="316"/>
      <c r="Y39" s="108"/>
      <c r="Z39" s="108"/>
      <c r="AA39" s="108"/>
      <c r="AB39" s="108"/>
      <c r="AC39" s="108"/>
      <c r="AD39" s="132">
        <f t="shared" si="2"/>
        <v>7041.602641581914</v>
      </c>
      <c r="AE39" s="12"/>
      <c r="AF39" s="12"/>
      <c r="AG39" s="12"/>
      <c r="AH39" s="12"/>
      <c r="AN39"/>
    </row>
    <row r="40" spans="2:40" ht="15.75">
      <c r="B40" s="147">
        <v>583</v>
      </c>
      <c r="C40" s="147">
        <v>2001</v>
      </c>
      <c r="D40" s="148" t="s">
        <v>64</v>
      </c>
      <c r="E40" s="147">
        <v>31.5</v>
      </c>
      <c r="F40" s="149">
        <v>10480</v>
      </c>
      <c r="G40" s="147">
        <v>1</v>
      </c>
      <c r="H40" s="150">
        <v>0</v>
      </c>
      <c r="I40" s="151">
        <v>0</v>
      </c>
      <c r="J40" s="130">
        <f>'Per-Ft'!$L$13</f>
        <v>254.1729750000004</v>
      </c>
      <c r="K40" s="151">
        <v>0</v>
      </c>
      <c r="L40" s="131"/>
      <c r="M40" s="341">
        <f>'Per-Ft'!$J$5+('Rent-List'!F40-10000)*'Per-Ft'!$H$6</f>
        <v>6789.122092586329</v>
      </c>
      <c r="N40" s="326">
        <f t="shared" si="1"/>
        <v>6534.949117586329</v>
      </c>
      <c r="P40" s="292"/>
      <c r="Q40" s="105"/>
      <c r="R40" s="107"/>
      <c r="S40" s="285"/>
      <c r="T40" s="593"/>
      <c r="U40" s="607"/>
      <c r="V40" s="463"/>
      <c r="W40" s="316"/>
      <c r="X40" s="316"/>
      <c r="Y40" s="108"/>
      <c r="Z40" s="108"/>
      <c r="AA40" s="108"/>
      <c r="AB40" s="108"/>
      <c r="AC40" s="108"/>
      <c r="AD40" s="132">
        <f t="shared" si="2"/>
        <v>6534.949117586329</v>
      </c>
      <c r="AE40" s="12"/>
      <c r="AF40" s="12"/>
      <c r="AG40" s="12"/>
      <c r="AH40" s="12"/>
      <c r="AN40"/>
    </row>
    <row r="41" spans="2:40" ht="15.75">
      <c r="B41" s="147">
        <v>641</v>
      </c>
      <c r="C41" s="147">
        <v>2210</v>
      </c>
      <c r="D41" s="148" t="s">
        <v>290</v>
      </c>
      <c r="E41" s="147">
        <v>66</v>
      </c>
      <c r="F41" s="149">
        <v>10561</v>
      </c>
      <c r="G41" s="164">
        <v>1</v>
      </c>
      <c r="H41" s="150">
        <v>0</v>
      </c>
      <c r="I41" s="151">
        <v>0</v>
      </c>
      <c r="J41" s="151">
        <v>0</v>
      </c>
      <c r="K41" s="151">
        <v>0</v>
      </c>
      <c r="L41" s="131"/>
      <c r="M41" s="341">
        <f>'Per-Ft'!$J$5+('Rent-List'!F41-10000)*'Per-Ft'!$H$6</f>
        <v>6795.976417904214</v>
      </c>
      <c r="N41" s="326">
        <f t="shared" si="1"/>
        <v>6795.976417904214</v>
      </c>
      <c r="P41" s="292"/>
      <c r="Q41" s="105"/>
      <c r="R41" s="107"/>
      <c r="S41" s="285"/>
      <c r="T41" s="593"/>
      <c r="U41" s="607"/>
      <c r="V41" s="463"/>
      <c r="W41" s="316"/>
      <c r="X41" s="316"/>
      <c r="Y41" s="108"/>
      <c r="Z41" s="108"/>
      <c r="AA41" s="108"/>
      <c r="AB41" s="108"/>
      <c r="AC41" s="108"/>
      <c r="AD41" s="132">
        <f t="shared" si="2"/>
        <v>6795.976417904214</v>
      </c>
      <c r="AE41" s="12"/>
      <c r="AF41" s="12"/>
      <c r="AG41" s="12"/>
      <c r="AH41" s="12"/>
      <c r="AN41"/>
    </row>
    <row r="42" spans="2:40" ht="15.75">
      <c r="B42" s="147">
        <v>667</v>
      </c>
      <c r="C42" s="147">
        <v>2317</v>
      </c>
      <c r="D42" s="148" t="s">
        <v>134</v>
      </c>
      <c r="E42" s="147">
        <v>75.75</v>
      </c>
      <c r="F42" s="149">
        <v>10595</v>
      </c>
      <c r="G42" s="147">
        <v>1</v>
      </c>
      <c r="H42" s="150">
        <v>0</v>
      </c>
      <c r="I42" s="151">
        <v>0</v>
      </c>
      <c r="J42" s="151">
        <v>0</v>
      </c>
      <c r="K42" s="151">
        <v>0</v>
      </c>
      <c r="L42" s="131"/>
      <c r="M42" s="341">
        <f>'Per-Ft'!$J$5+('Rent-List'!F42-10000)*'Per-Ft'!$H$6</f>
        <v>6798.853542111721</v>
      </c>
      <c r="N42" s="326">
        <f t="shared" si="1"/>
        <v>6798.853542111721</v>
      </c>
      <c r="P42" s="292"/>
      <c r="Q42" s="105"/>
      <c r="R42" s="107"/>
      <c r="S42" s="285"/>
      <c r="T42" s="593"/>
      <c r="U42" s="607"/>
      <c r="V42" s="463"/>
      <c r="W42" s="316"/>
      <c r="X42" s="316"/>
      <c r="Y42" s="108"/>
      <c r="Z42" s="108"/>
      <c r="AA42" s="108"/>
      <c r="AB42" s="108"/>
      <c r="AC42" s="108"/>
      <c r="AD42" s="132">
        <f t="shared" si="2"/>
        <v>6798.853542111721</v>
      </c>
      <c r="AE42" s="12"/>
      <c r="AF42" s="12"/>
      <c r="AG42" s="12"/>
      <c r="AH42" s="12"/>
      <c r="AN42"/>
    </row>
    <row r="43" spans="2:40" ht="15.75">
      <c r="B43" s="147">
        <v>660</v>
      </c>
      <c r="C43" s="147">
        <v>1801</v>
      </c>
      <c r="D43" s="148" t="s">
        <v>65</v>
      </c>
      <c r="E43" s="147">
        <v>75.5</v>
      </c>
      <c r="F43" s="149">
        <v>10600</v>
      </c>
      <c r="G43" s="147">
        <v>1</v>
      </c>
      <c r="H43" s="150">
        <v>0</v>
      </c>
      <c r="I43" s="151">
        <v>0</v>
      </c>
      <c r="J43" s="151">
        <v>0</v>
      </c>
      <c r="K43" s="151">
        <v>0</v>
      </c>
      <c r="L43" s="131"/>
      <c r="M43" s="341">
        <f>'Per-Ft'!$J$5+('Rent-List'!F43-10000)*'Per-Ft'!$H$6</f>
        <v>6799.276648612825</v>
      </c>
      <c r="N43" s="326">
        <f t="shared" si="1"/>
        <v>6799.276648612825</v>
      </c>
      <c r="P43" s="292"/>
      <c r="Q43" s="105"/>
      <c r="R43" s="107"/>
      <c r="S43" s="285"/>
      <c r="T43" s="593"/>
      <c r="U43" s="607"/>
      <c r="V43" s="463"/>
      <c r="W43" s="316"/>
      <c r="X43" s="316"/>
      <c r="Y43" s="108"/>
      <c r="Z43" s="108"/>
      <c r="AA43" s="108"/>
      <c r="AB43" s="108"/>
      <c r="AC43" s="108"/>
      <c r="AD43" s="132">
        <f t="shared" si="2"/>
        <v>6799.276648612825</v>
      </c>
      <c r="AE43" s="12"/>
      <c r="AF43" s="12"/>
      <c r="AG43" s="12"/>
      <c r="AH43" s="12"/>
      <c r="AN43"/>
    </row>
    <row r="44" spans="2:40" ht="15.75">
      <c r="B44" s="147">
        <v>502</v>
      </c>
      <c r="C44" s="147">
        <v>2103</v>
      </c>
      <c r="D44" s="148" t="s">
        <v>55</v>
      </c>
      <c r="E44" s="147" t="s">
        <v>126</v>
      </c>
      <c r="F44" s="149">
        <v>10616</v>
      </c>
      <c r="G44" s="147">
        <v>1</v>
      </c>
      <c r="H44" s="150">
        <v>0</v>
      </c>
      <c r="I44" s="151">
        <v>0</v>
      </c>
      <c r="J44" s="130">
        <f>'Per-Ft'!$L$13</f>
        <v>254.1729750000004</v>
      </c>
      <c r="K44" s="130">
        <f>'Per-Ft'!$L$9</f>
        <v>508.34595000000263</v>
      </c>
      <c r="L44" s="131"/>
      <c r="M44" s="341">
        <f>'Per-Ft'!$J$5+('Rent-List'!F44-10000)*'Per-Ft'!$H$6</f>
        <v>6800.630589416358</v>
      </c>
      <c r="N44" s="326">
        <f t="shared" si="1"/>
        <v>6038.111664416355</v>
      </c>
      <c r="P44" s="292"/>
      <c r="Q44" s="105"/>
      <c r="R44" s="107"/>
      <c r="S44" s="285"/>
      <c r="T44" s="593"/>
      <c r="U44" s="607"/>
      <c r="V44" s="463"/>
      <c r="W44" s="316"/>
      <c r="X44" s="316"/>
      <c r="Y44" s="108"/>
      <c r="Z44" s="108"/>
      <c r="AA44" s="108"/>
      <c r="AB44" s="108"/>
      <c r="AC44" s="108"/>
      <c r="AD44" s="132">
        <f t="shared" si="2"/>
        <v>6038.111664416355</v>
      </c>
      <c r="AE44" s="12"/>
      <c r="AF44" s="12"/>
      <c r="AG44" s="12"/>
      <c r="AH44" s="12"/>
      <c r="AN44"/>
    </row>
    <row r="45" spans="1:40" ht="15.75">
      <c r="A45" s="165" t="s">
        <v>397</v>
      </c>
      <c r="B45" s="166">
        <v>572</v>
      </c>
      <c r="C45" s="166">
        <v>2111</v>
      </c>
      <c r="D45" s="167" t="s">
        <v>68</v>
      </c>
      <c r="E45" s="166">
        <v>132</v>
      </c>
      <c r="F45" s="168">
        <v>10624</v>
      </c>
      <c r="G45" s="166">
        <v>2</v>
      </c>
      <c r="H45" s="169">
        <v>0</v>
      </c>
      <c r="I45" s="170">
        <v>0</v>
      </c>
      <c r="J45" s="170">
        <v>0</v>
      </c>
      <c r="K45" s="170">
        <v>0</v>
      </c>
      <c r="L45" s="171">
        <f>'Per-Ft'!$L$5</f>
        <v>254.1729750000004</v>
      </c>
      <c r="M45" s="536">
        <f>'Per-Ft'!$J$5+('Rent-List'!F45-10000)*'Per-Ft'!$H$6</f>
        <v>6801.307559818124</v>
      </c>
      <c r="N45" s="326">
        <f t="shared" si="1"/>
        <v>6547.134584818124</v>
      </c>
      <c r="O45" s="181"/>
      <c r="P45" s="540"/>
      <c r="Q45" s="539"/>
      <c r="R45" s="541"/>
      <c r="S45" s="542"/>
      <c r="T45" s="543"/>
      <c r="U45" s="186"/>
      <c r="V45" s="544"/>
      <c r="W45" s="545"/>
      <c r="X45" s="545"/>
      <c r="Y45" s="186"/>
      <c r="Z45" s="186"/>
      <c r="AA45" s="186"/>
      <c r="AB45" s="186"/>
      <c r="AC45" s="186"/>
      <c r="AD45" s="185">
        <f t="shared" si="2"/>
        <v>6547.134584818124</v>
      </c>
      <c r="AE45" s="12"/>
      <c r="AF45" s="12"/>
      <c r="AG45" s="12"/>
      <c r="AH45" s="12"/>
      <c r="AN45"/>
    </row>
    <row r="46" spans="2:40" ht="15.75">
      <c r="B46" s="147">
        <v>616</v>
      </c>
      <c r="C46" s="147">
        <v>2301</v>
      </c>
      <c r="D46" s="148" t="s">
        <v>398</v>
      </c>
      <c r="E46" s="147">
        <v>23</v>
      </c>
      <c r="F46" s="149">
        <v>10655</v>
      </c>
      <c r="G46" s="147">
        <v>1</v>
      </c>
      <c r="H46" s="150">
        <v>0</v>
      </c>
      <c r="I46" s="151">
        <v>0</v>
      </c>
      <c r="J46" s="151">
        <v>0</v>
      </c>
      <c r="K46" s="151">
        <v>0</v>
      </c>
      <c r="L46" s="131"/>
      <c r="M46" s="341">
        <f>'Per-Ft'!$J$5+('Rent-List'!F46-10000)*'Per-Ft'!$H$6</f>
        <v>6803.930820124969</v>
      </c>
      <c r="N46" s="326">
        <f t="shared" si="1"/>
        <v>6803.930820124969</v>
      </c>
      <c r="P46" s="292"/>
      <c r="Q46" s="105"/>
      <c r="R46" s="107"/>
      <c r="S46" s="285"/>
      <c r="T46" s="593"/>
      <c r="U46" s="607"/>
      <c r="V46" s="463"/>
      <c r="W46" s="316"/>
      <c r="X46" s="316"/>
      <c r="Y46" s="108"/>
      <c r="Z46" s="108"/>
      <c r="AA46" s="108"/>
      <c r="AB46" s="108"/>
      <c r="AC46" s="108"/>
      <c r="AD46" s="132">
        <f t="shared" si="2"/>
        <v>6803.930820124969</v>
      </c>
      <c r="AE46" s="12"/>
      <c r="AF46" s="12"/>
      <c r="AG46" s="12"/>
      <c r="AH46" s="12"/>
      <c r="AN46"/>
    </row>
    <row r="47" spans="2:40" ht="15.75">
      <c r="B47" s="147">
        <v>515</v>
      </c>
      <c r="C47" s="147">
        <v>2105</v>
      </c>
      <c r="D47" s="148" t="s">
        <v>294</v>
      </c>
      <c r="E47" s="147">
        <v>96</v>
      </c>
      <c r="F47" s="149">
        <v>10661</v>
      </c>
      <c r="G47" s="147">
        <v>1</v>
      </c>
      <c r="H47" s="150">
        <v>0</v>
      </c>
      <c r="I47" s="151">
        <v>0</v>
      </c>
      <c r="J47" s="151">
        <v>0</v>
      </c>
      <c r="K47" s="151">
        <v>0</v>
      </c>
      <c r="L47" s="131"/>
      <c r="M47" s="341">
        <f>'Per-Ft'!$J$5+('Rent-List'!F47-10000)*'Per-Ft'!$H$6</f>
        <v>6804.438547926294</v>
      </c>
      <c r="N47" s="326">
        <f t="shared" si="1"/>
        <v>6804.438547926294</v>
      </c>
      <c r="P47" s="292"/>
      <c r="Q47" s="105"/>
      <c r="R47" s="107"/>
      <c r="S47" s="285"/>
      <c r="T47" s="593"/>
      <c r="U47" s="607"/>
      <c r="V47" s="463"/>
      <c r="W47" s="316"/>
      <c r="X47" s="316"/>
      <c r="Y47" s="108"/>
      <c r="Z47" s="108"/>
      <c r="AA47" s="108"/>
      <c r="AB47" s="108"/>
      <c r="AC47" s="108"/>
      <c r="AD47" s="132">
        <f t="shared" si="2"/>
        <v>6804.438547926294</v>
      </c>
      <c r="AE47" s="12"/>
      <c r="AF47" s="12"/>
      <c r="AG47" s="12"/>
      <c r="AH47" s="12"/>
      <c r="AN47"/>
    </row>
    <row r="48" spans="2:40" ht="15.75">
      <c r="B48" s="147">
        <v>578</v>
      </c>
      <c r="C48" s="147">
        <v>2002</v>
      </c>
      <c r="D48" s="148" t="s">
        <v>64</v>
      </c>
      <c r="E48" s="147">
        <v>126</v>
      </c>
      <c r="F48" s="149">
        <v>10665</v>
      </c>
      <c r="G48" s="147">
        <v>1</v>
      </c>
      <c r="H48" s="150">
        <v>0</v>
      </c>
      <c r="I48" s="151">
        <v>0</v>
      </c>
      <c r="J48" s="130">
        <f>'Per-Ft'!$L$13</f>
        <v>254.1729750000004</v>
      </c>
      <c r="K48" s="130">
        <f>'Per-Ft'!$L$9</f>
        <v>508.34595000000263</v>
      </c>
      <c r="L48" s="131"/>
      <c r="M48" s="341">
        <f>'Per-Ft'!$J$5+('Rent-List'!F48-10000)*'Per-Ft'!$H$6</f>
        <v>6804.777033127177</v>
      </c>
      <c r="N48" s="326">
        <f t="shared" si="1"/>
        <v>6042.258108127174</v>
      </c>
      <c r="P48" s="292"/>
      <c r="Q48" s="105"/>
      <c r="R48" s="107"/>
      <c r="S48" s="285"/>
      <c r="T48" s="593"/>
      <c r="U48" s="607"/>
      <c r="V48" s="463"/>
      <c r="W48" s="316"/>
      <c r="X48" s="316"/>
      <c r="Y48" s="108"/>
      <c r="Z48" s="108"/>
      <c r="AA48" s="108"/>
      <c r="AB48" s="108"/>
      <c r="AC48" s="108"/>
      <c r="AD48" s="132">
        <f t="shared" si="2"/>
        <v>6042.258108127174</v>
      </c>
      <c r="AE48" s="12"/>
      <c r="AF48" s="12"/>
      <c r="AG48" s="12"/>
      <c r="AH48" s="12"/>
      <c r="AN48"/>
    </row>
    <row r="49" spans="2:40" ht="15.75">
      <c r="B49" s="147">
        <v>643</v>
      </c>
      <c r="C49" s="147">
        <v>2212</v>
      </c>
      <c r="D49" s="148" t="s">
        <v>180</v>
      </c>
      <c r="E49" s="147">
        <v>52.5</v>
      </c>
      <c r="F49" s="149">
        <v>10675</v>
      </c>
      <c r="G49" s="147">
        <v>1</v>
      </c>
      <c r="H49" s="150">
        <v>0</v>
      </c>
      <c r="I49" s="151">
        <v>0</v>
      </c>
      <c r="J49" s="151">
        <v>0</v>
      </c>
      <c r="K49" s="151">
        <v>0</v>
      </c>
      <c r="L49" s="131"/>
      <c r="M49" s="341">
        <f>'Per-Ft'!$J$5+('Rent-List'!F49-10000)*'Per-Ft'!$H$6</f>
        <v>6805.623246129385</v>
      </c>
      <c r="N49" s="326">
        <f t="shared" si="1"/>
        <v>6805.623246129385</v>
      </c>
      <c r="P49" s="292"/>
      <c r="Q49" s="105"/>
      <c r="R49" s="107"/>
      <c r="S49" s="285"/>
      <c r="T49" s="593"/>
      <c r="U49" s="607"/>
      <c r="V49" s="463"/>
      <c r="W49" s="316"/>
      <c r="X49" s="316"/>
      <c r="Y49" s="108"/>
      <c r="Z49" s="108"/>
      <c r="AA49" s="108"/>
      <c r="AB49" s="108"/>
      <c r="AC49" s="108"/>
      <c r="AD49" s="132">
        <f t="shared" si="2"/>
        <v>6805.623246129385</v>
      </c>
      <c r="AE49" s="12"/>
      <c r="AF49" s="12"/>
      <c r="AG49" s="12"/>
      <c r="AH49" s="12"/>
      <c r="AN49"/>
    </row>
    <row r="50" spans="1:40" ht="15.75">
      <c r="A50" s="135" t="s">
        <v>181</v>
      </c>
      <c r="B50" s="136">
        <v>636</v>
      </c>
      <c r="C50" s="136">
        <v>2209</v>
      </c>
      <c r="D50" s="137" t="s">
        <v>180</v>
      </c>
      <c r="E50" s="136">
        <v>49</v>
      </c>
      <c r="F50" s="138">
        <v>10821</v>
      </c>
      <c r="G50" s="136">
        <v>2</v>
      </c>
      <c r="H50" s="139">
        <v>0</v>
      </c>
      <c r="I50" s="140">
        <v>0</v>
      </c>
      <c r="J50" s="140">
        <v>0</v>
      </c>
      <c r="K50" s="140">
        <v>0</v>
      </c>
      <c r="L50" s="141"/>
      <c r="M50" s="537">
        <f>'Per-Ft'!$J$5+('Rent-List'!F50-10000)*'Per-Ft'!$H$6</f>
        <v>6817.977955961622</v>
      </c>
      <c r="N50" s="326">
        <f t="shared" si="1"/>
        <v>6817.977955961622</v>
      </c>
      <c r="O50" s="142">
        <v>49</v>
      </c>
      <c r="P50" s="294">
        <v>2405</v>
      </c>
      <c r="Q50" s="143" t="s">
        <v>11</v>
      </c>
      <c r="R50" s="144">
        <v>400</v>
      </c>
      <c r="S50" s="154" t="s">
        <v>7</v>
      </c>
      <c r="T50" s="179">
        <v>525</v>
      </c>
      <c r="U50" s="317">
        <f>V50-Y50+Z50-AA50-AB50-AC50</f>
        <v>3376.640475000001</v>
      </c>
      <c r="V50" s="395">
        <f>T50*$V$4</f>
        <v>6124.650000000001</v>
      </c>
      <c r="W50" s="317">
        <v>61281</v>
      </c>
      <c r="X50" s="317"/>
      <c r="Y50" s="146">
        <f>W50*$Y$4</f>
        <v>1838.4299999999998</v>
      </c>
      <c r="Z50" s="146">
        <f>W50*$Z$4</f>
        <v>1041.777</v>
      </c>
      <c r="AA50" s="146">
        <f>W50*$AA$4</f>
        <v>980.496</v>
      </c>
      <c r="AB50" s="317">
        <f>W50*$AB$4</f>
        <v>183.84300000000002</v>
      </c>
      <c r="AC50" s="395">
        <f>V50*$AC$4</f>
        <v>787.0175250000001</v>
      </c>
      <c r="AD50" s="156">
        <f t="shared" si="2"/>
        <v>10194.618430961622</v>
      </c>
      <c r="AE50" s="12"/>
      <c r="AF50" s="12"/>
      <c r="AG50" s="12"/>
      <c r="AH50" s="12"/>
      <c r="AN50"/>
    </row>
    <row r="51" spans="2:40" ht="15.75">
      <c r="B51" s="147">
        <v>658</v>
      </c>
      <c r="C51" s="147">
        <v>2314</v>
      </c>
      <c r="D51" s="148" t="s">
        <v>134</v>
      </c>
      <c r="E51" s="147">
        <v>65.5</v>
      </c>
      <c r="F51" s="149">
        <v>10881</v>
      </c>
      <c r="G51" s="147">
        <v>1</v>
      </c>
      <c r="H51" s="150">
        <v>0</v>
      </c>
      <c r="I51" s="151">
        <v>0</v>
      </c>
      <c r="J51" s="151">
        <v>0</v>
      </c>
      <c r="K51" s="151">
        <v>0</v>
      </c>
      <c r="L51" s="131"/>
      <c r="M51" s="341">
        <f>'Per-Ft'!$J$5+('Rent-List'!F51-10000)*'Per-Ft'!$H$6</f>
        <v>6823.05523397487</v>
      </c>
      <c r="N51" s="326">
        <f t="shared" si="1"/>
        <v>6823.05523397487</v>
      </c>
      <c r="P51" s="292"/>
      <c r="Q51" s="105"/>
      <c r="R51" s="107"/>
      <c r="S51" s="285"/>
      <c r="T51" s="593"/>
      <c r="U51" s="607"/>
      <c r="V51" s="463"/>
      <c r="X51" s="316"/>
      <c r="Y51" s="108"/>
      <c r="Z51" s="108"/>
      <c r="AA51" s="108"/>
      <c r="AB51" s="108"/>
      <c r="AC51" s="108"/>
      <c r="AD51" s="132">
        <f t="shared" si="2"/>
        <v>6823.05523397487</v>
      </c>
      <c r="AE51" s="12"/>
      <c r="AF51" s="12"/>
      <c r="AG51" s="12"/>
      <c r="AH51" s="12"/>
      <c r="AN51"/>
    </row>
    <row r="52" spans="2:40" ht="15.75">
      <c r="B52" s="147">
        <v>614</v>
      </c>
      <c r="C52" s="147">
        <v>2104</v>
      </c>
      <c r="D52" s="148" t="s">
        <v>164</v>
      </c>
      <c r="E52" s="147">
        <v>22.5</v>
      </c>
      <c r="F52" s="149">
        <v>11000</v>
      </c>
      <c r="G52" s="147">
        <v>1</v>
      </c>
      <c r="H52" s="150">
        <v>0</v>
      </c>
      <c r="I52" s="151">
        <v>0</v>
      </c>
      <c r="J52" s="151">
        <v>0</v>
      </c>
      <c r="K52" s="151">
        <v>0</v>
      </c>
      <c r="L52" s="131"/>
      <c r="M52" s="341">
        <f>'Per-Ft'!$J$6+('Rent-List'!F52-11000)*'Per-Ft'!$H$7</f>
        <v>6833.1251687011445</v>
      </c>
      <c r="N52" s="326">
        <f t="shared" si="1"/>
        <v>6833.1251687011445</v>
      </c>
      <c r="P52" s="292"/>
      <c r="Q52" s="105"/>
      <c r="R52" s="107"/>
      <c r="S52" s="285"/>
      <c r="T52" s="593"/>
      <c r="U52" s="607"/>
      <c r="V52" s="463"/>
      <c r="W52" s="316"/>
      <c r="X52" s="316"/>
      <c r="Y52" s="108"/>
      <c r="Z52" s="108"/>
      <c r="AA52" s="108"/>
      <c r="AB52" s="108"/>
      <c r="AC52" s="108"/>
      <c r="AD52" s="132">
        <f t="shared" si="2"/>
        <v>6833.1251687011445</v>
      </c>
      <c r="AE52" s="12"/>
      <c r="AF52" s="12"/>
      <c r="AG52" s="12"/>
      <c r="AH52" s="12"/>
      <c r="AN52"/>
    </row>
    <row r="53" spans="2:40" ht="15.75">
      <c r="B53" s="147">
        <v>647</v>
      </c>
      <c r="C53" s="147">
        <v>2310</v>
      </c>
      <c r="D53" s="148" t="s">
        <v>87</v>
      </c>
      <c r="E53" s="147">
        <v>59</v>
      </c>
      <c r="F53" s="149">
        <v>11393</v>
      </c>
      <c r="G53" s="147">
        <v>1</v>
      </c>
      <c r="H53" s="150">
        <v>0</v>
      </c>
      <c r="I53" s="130">
        <f>'Per-Ft'!$L$16</f>
        <v>254.17297500000132</v>
      </c>
      <c r="J53" s="151">
        <v>0</v>
      </c>
      <c r="K53" s="151">
        <v>0</v>
      </c>
      <c r="L53" s="131"/>
      <c r="M53" s="341">
        <f>'Per-Ft'!$J$6+('Rent-List'!F53-11000)*'Per-Ft'!$H$7</f>
        <v>6865.729257903865</v>
      </c>
      <c r="N53" s="326">
        <f t="shared" si="1"/>
        <v>7119.902232903866</v>
      </c>
      <c r="P53" s="292"/>
      <c r="Q53" s="105"/>
      <c r="R53" s="107"/>
      <c r="S53" s="285"/>
      <c r="T53" s="593"/>
      <c r="U53" s="607"/>
      <c r="V53" s="463"/>
      <c r="W53" s="316"/>
      <c r="X53" s="316"/>
      <c r="Y53" s="108"/>
      <c r="Z53" s="108"/>
      <c r="AA53" s="108"/>
      <c r="AB53" s="108"/>
      <c r="AC53" s="108"/>
      <c r="AD53" s="132">
        <f t="shared" si="2"/>
        <v>7119.902232903866</v>
      </c>
      <c r="AE53" s="12"/>
      <c r="AF53" s="12"/>
      <c r="AG53" s="12"/>
      <c r="AH53" s="12"/>
      <c r="AN53"/>
    </row>
    <row r="54" spans="2:40" ht="15.75">
      <c r="B54" s="164">
        <v>522</v>
      </c>
      <c r="C54" s="164">
        <v>2110</v>
      </c>
      <c r="D54" s="175" t="s">
        <v>398</v>
      </c>
      <c r="E54" s="164">
        <v>100.5</v>
      </c>
      <c r="F54" s="163">
        <v>11417</v>
      </c>
      <c r="G54" s="164">
        <v>1</v>
      </c>
      <c r="H54" s="150">
        <f>'Per-Ft'!$L$19</f>
        <v>508.3459499999999</v>
      </c>
      <c r="I54" s="176">
        <v>0</v>
      </c>
      <c r="J54" s="176">
        <v>0</v>
      </c>
      <c r="K54" s="176">
        <v>0</v>
      </c>
      <c r="L54" s="177"/>
      <c r="M54" s="341">
        <f>'Per-Ft'!$J$6+('Rent-List'!F54-11000)*'Per-Ft'!$H$7</f>
        <v>6867.720347320825</v>
      </c>
      <c r="N54" s="326">
        <f t="shared" si="1"/>
        <v>7376.066297320825</v>
      </c>
      <c r="P54" s="292"/>
      <c r="Q54" s="105"/>
      <c r="R54" s="107"/>
      <c r="S54" s="285"/>
      <c r="T54" s="593"/>
      <c r="U54" s="607"/>
      <c r="V54" s="463"/>
      <c r="W54" s="316"/>
      <c r="X54" s="316"/>
      <c r="Y54" s="108"/>
      <c r="Z54" s="108"/>
      <c r="AA54" s="108"/>
      <c r="AB54" s="108"/>
      <c r="AC54" s="108"/>
      <c r="AD54" s="132">
        <f t="shared" si="2"/>
        <v>7376.066297320825</v>
      </c>
      <c r="AE54" s="12"/>
      <c r="AF54" s="12"/>
      <c r="AG54" s="12"/>
      <c r="AH54" s="12"/>
      <c r="AN54"/>
    </row>
    <row r="55" spans="2:40" ht="15.75">
      <c r="B55" s="147">
        <v>662</v>
      </c>
      <c r="C55" s="147">
        <v>2320</v>
      </c>
      <c r="D55" s="148" t="s">
        <v>87</v>
      </c>
      <c r="E55" s="147">
        <v>75.25</v>
      </c>
      <c r="F55" s="149">
        <v>11442</v>
      </c>
      <c r="G55" s="147">
        <v>1</v>
      </c>
      <c r="H55" s="150">
        <v>0</v>
      </c>
      <c r="I55" s="130">
        <f>'Per-Ft'!$L$16</f>
        <v>254.17297500000132</v>
      </c>
      <c r="J55" s="151">
        <v>0</v>
      </c>
      <c r="K55" s="151">
        <v>0</v>
      </c>
      <c r="L55" s="131"/>
      <c r="M55" s="341">
        <f>'Per-Ft'!$J$6+('Rent-List'!F55-11000)*'Per-Ft'!$H$7</f>
        <v>6869.794398796825</v>
      </c>
      <c r="N55" s="326">
        <f t="shared" si="1"/>
        <v>7123.967373796826</v>
      </c>
      <c r="P55" s="292"/>
      <c r="Q55" s="105"/>
      <c r="R55" s="107"/>
      <c r="S55" s="285"/>
      <c r="T55" s="593"/>
      <c r="U55" s="607"/>
      <c r="V55" s="463"/>
      <c r="W55" s="316"/>
      <c r="X55" s="316"/>
      <c r="Y55" s="108"/>
      <c r="Z55" s="108"/>
      <c r="AA55" s="108"/>
      <c r="AB55" s="108"/>
      <c r="AC55" s="108"/>
      <c r="AD55" s="132">
        <f t="shared" si="2"/>
        <v>7123.967373796826</v>
      </c>
      <c r="AE55" s="12"/>
      <c r="AF55" s="12"/>
      <c r="AG55" s="12"/>
      <c r="AH55" s="12"/>
      <c r="AN55"/>
    </row>
    <row r="56" spans="2:34" ht="15.75">
      <c r="B56" s="147">
        <v>681</v>
      </c>
      <c r="C56" s="147">
        <v>2317</v>
      </c>
      <c r="D56" s="148" t="s">
        <v>279</v>
      </c>
      <c r="E56" s="147" t="s">
        <v>332</v>
      </c>
      <c r="F56" s="149">
        <v>11626</v>
      </c>
      <c r="G56" s="147">
        <v>1</v>
      </c>
      <c r="H56" s="150">
        <f>'Per-Ft'!$L$19</f>
        <v>508.3459499999999</v>
      </c>
      <c r="I56" s="130">
        <f>'Per-Ft'!$L$16</f>
        <v>254.17297500000132</v>
      </c>
      <c r="J56" s="151">
        <v>0</v>
      </c>
      <c r="K56" s="151">
        <v>0</v>
      </c>
      <c r="L56" s="131"/>
      <c r="M56" s="341">
        <f>'Per-Ft'!$J$6+('Rent-List'!F56-11000)*'Per-Ft'!$H$7</f>
        <v>6885.059417660184</v>
      </c>
      <c r="N56" s="326">
        <f t="shared" si="1"/>
        <v>7647.578342660186</v>
      </c>
      <c r="P56" s="292"/>
      <c r="Q56" s="105"/>
      <c r="R56" s="107"/>
      <c r="S56" s="285"/>
      <c r="T56" s="593"/>
      <c r="U56" s="607"/>
      <c r="V56" s="463"/>
      <c r="W56" s="319"/>
      <c r="X56" s="316"/>
      <c r="Y56" s="108"/>
      <c r="Z56" s="108"/>
      <c r="AA56" s="108"/>
      <c r="AB56" s="108"/>
      <c r="AC56" s="108"/>
      <c r="AD56" s="132">
        <f t="shared" si="2"/>
        <v>7647.578342660186</v>
      </c>
      <c r="AE56" s="12"/>
      <c r="AF56" s="12"/>
      <c r="AG56" s="12"/>
      <c r="AH56" s="12"/>
    </row>
    <row r="57" spans="2:34" ht="15.75">
      <c r="B57" s="147">
        <v>668</v>
      </c>
      <c r="C57" s="147">
        <v>2320</v>
      </c>
      <c r="D57" s="148" t="s">
        <v>134</v>
      </c>
      <c r="E57" s="147">
        <v>67.5</v>
      </c>
      <c r="F57" s="149">
        <v>11809</v>
      </c>
      <c r="G57" s="147">
        <v>1</v>
      </c>
      <c r="H57" s="150">
        <v>0</v>
      </c>
      <c r="I57" s="151">
        <v>0</v>
      </c>
      <c r="J57" s="151">
        <v>0</v>
      </c>
      <c r="K57" s="151">
        <v>0</v>
      </c>
      <c r="L57" s="131"/>
      <c r="M57" s="341">
        <f>'Per-Ft'!$J$6+('Rent-List'!F57-11000)*'Per-Ft'!$H$7</f>
        <v>6900.241474464505</v>
      </c>
      <c r="N57" s="326">
        <f t="shared" si="1"/>
        <v>6900.241474464505</v>
      </c>
      <c r="P57" s="292"/>
      <c r="Q57" s="105"/>
      <c r="R57" s="107"/>
      <c r="S57" s="285"/>
      <c r="T57" s="593"/>
      <c r="U57" s="607"/>
      <c r="V57" s="463"/>
      <c r="W57" s="284"/>
      <c r="X57" s="316"/>
      <c r="Y57" s="108"/>
      <c r="Z57" s="108"/>
      <c r="AA57" s="108"/>
      <c r="AB57" s="108"/>
      <c r="AC57" s="108"/>
      <c r="AD57" s="132">
        <f t="shared" si="2"/>
        <v>6900.241474464505</v>
      </c>
      <c r="AE57" s="12"/>
      <c r="AF57" s="12"/>
      <c r="AG57" s="12"/>
      <c r="AH57" s="12"/>
    </row>
    <row r="58" spans="1:34" ht="15.75">
      <c r="A58" s="135" t="s">
        <v>50</v>
      </c>
      <c r="B58" s="136">
        <v>607</v>
      </c>
      <c r="C58" s="136">
        <v>2212</v>
      </c>
      <c r="D58" s="137" t="s">
        <v>1</v>
      </c>
      <c r="E58" s="136">
        <v>16</v>
      </c>
      <c r="F58" s="138">
        <v>11900</v>
      </c>
      <c r="G58" s="136">
        <v>2</v>
      </c>
      <c r="H58" s="139">
        <v>0</v>
      </c>
      <c r="I58" s="140">
        <v>0</v>
      </c>
      <c r="J58" s="140">
        <v>0</v>
      </c>
      <c r="K58" s="140">
        <v>0</v>
      </c>
      <c r="L58" s="141"/>
      <c r="M58" s="537">
        <f>'Per-Ft'!$J$6+('Rent-List'!F58-11000)*'Per-Ft'!$H$7</f>
        <v>6907.791021837144</v>
      </c>
      <c r="N58" s="326">
        <f t="shared" si="1"/>
        <v>6907.791021837144</v>
      </c>
      <c r="O58" s="178">
        <v>16</v>
      </c>
      <c r="P58" s="144">
        <v>5816</v>
      </c>
      <c r="Q58" s="154" t="s">
        <v>79</v>
      </c>
      <c r="R58" s="144">
        <v>800</v>
      </c>
      <c r="S58" s="144" t="s">
        <v>2</v>
      </c>
      <c r="T58" s="179">
        <v>800</v>
      </c>
      <c r="U58" s="317">
        <f>V58-Y58+Z58-AA58-AB58-AC58</f>
        <v>4371.583200000001</v>
      </c>
      <c r="V58" s="395">
        <f>T58*$V$4</f>
        <v>9332.800000000001</v>
      </c>
      <c r="W58" s="317">
        <v>117561</v>
      </c>
      <c r="X58" s="317"/>
      <c r="Y58" s="146">
        <f>W58*$Y$4</f>
        <v>3526.83</v>
      </c>
      <c r="Z58" s="146">
        <f>W58*$Z$4</f>
        <v>1998.537</v>
      </c>
      <c r="AA58" s="146">
        <f>W58*$AA$4</f>
        <v>1880.976</v>
      </c>
      <c r="AB58" s="317">
        <f>W58*$AB$4</f>
        <v>352.683</v>
      </c>
      <c r="AC58" s="395">
        <f>V58*$AC$4</f>
        <v>1199.2648000000002</v>
      </c>
      <c r="AD58" s="156">
        <f t="shared" si="2"/>
        <v>11279.374221837144</v>
      </c>
      <c r="AE58" s="12"/>
      <c r="AF58" s="12"/>
      <c r="AG58" s="12"/>
      <c r="AH58" s="12"/>
    </row>
    <row r="59" spans="2:34" ht="15.75">
      <c r="B59" s="147">
        <v>623</v>
      </c>
      <c r="C59" s="147">
        <v>1902</v>
      </c>
      <c r="D59" s="148" t="s">
        <v>164</v>
      </c>
      <c r="E59" s="147">
        <v>35.5</v>
      </c>
      <c r="F59" s="149">
        <v>11901</v>
      </c>
      <c r="G59" s="147">
        <v>1</v>
      </c>
      <c r="H59" s="150">
        <v>0</v>
      </c>
      <c r="I59" s="151">
        <v>0</v>
      </c>
      <c r="J59" s="151">
        <v>0</v>
      </c>
      <c r="K59" s="151">
        <v>0</v>
      </c>
      <c r="L59" s="131"/>
      <c r="M59" s="341">
        <f>'Per-Ft'!$J$6+('Rent-List'!F59-11000)*'Per-Ft'!$H$7</f>
        <v>6907.873983896185</v>
      </c>
      <c r="N59" s="326">
        <f t="shared" si="1"/>
        <v>6907.873983896185</v>
      </c>
      <c r="P59" s="292"/>
      <c r="Q59" s="105"/>
      <c r="R59" s="107"/>
      <c r="S59" s="285"/>
      <c r="T59" s="593"/>
      <c r="U59" s="607"/>
      <c r="V59" s="463"/>
      <c r="W59" s="316"/>
      <c r="X59" s="316"/>
      <c r="Y59" s="108"/>
      <c r="Z59" s="108"/>
      <c r="AA59" s="108"/>
      <c r="AB59" s="108"/>
      <c r="AC59" s="108"/>
      <c r="AD59" s="132">
        <f t="shared" si="2"/>
        <v>6907.873983896185</v>
      </c>
      <c r="AE59" s="12"/>
      <c r="AF59" s="12"/>
      <c r="AG59" s="12"/>
      <c r="AH59" s="12"/>
    </row>
    <row r="60" spans="2:34" ht="15.75">
      <c r="B60" s="147">
        <v>574</v>
      </c>
      <c r="C60" s="147">
        <v>1904</v>
      </c>
      <c r="D60" s="148" t="s">
        <v>64</v>
      </c>
      <c r="E60" s="147">
        <v>130</v>
      </c>
      <c r="F60" s="149">
        <v>11953</v>
      </c>
      <c r="G60" s="147">
        <v>1</v>
      </c>
      <c r="H60" s="150">
        <v>0</v>
      </c>
      <c r="I60" s="151">
        <v>0</v>
      </c>
      <c r="J60" s="130">
        <v>0</v>
      </c>
      <c r="K60" s="130">
        <f>'Per-Ft'!$L$9</f>
        <v>508.34595000000263</v>
      </c>
      <c r="L60" s="131"/>
      <c r="M60" s="341">
        <f>'Per-Ft'!$J$6+('Rent-List'!F60-11000)*'Per-Ft'!$H$7</f>
        <v>6912.188010966264</v>
      </c>
      <c r="N60" s="326">
        <f t="shared" si="1"/>
        <v>6403.842060966262</v>
      </c>
      <c r="P60" s="292"/>
      <c r="Q60" s="105"/>
      <c r="R60" s="107"/>
      <c r="S60" s="285"/>
      <c r="T60" s="593"/>
      <c r="U60" s="607"/>
      <c r="V60" s="463"/>
      <c r="W60" s="316"/>
      <c r="X60" s="316"/>
      <c r="Y60" s="108"/>
      <c r="Z60" s="108"/>
      <c r="AA60" s="108"/>
      <c r="AB60" s="108"/>
      <c r="AC60" s="108"/>
      <c r="AD60" s="132">
        <f t="shared" si="2"/>
        <v>6403.842060966262</v>
      </c>
      <c r="AE60" s="12"/>
      <c r="AF60" s="12"/>
      <c r="AG60" s="12"/>
      <c r="AH60" s="12"/>
    </row>
    <row r="61" spans="2:34" ht="15.75">
      <c r="B61" s="147">
        <v>556</v>
      </c>
      <c r="C61" s="147">
        <v>2120</v>
      </c>
      <c r="D61" s="148" t="s">
        <v>162</v>
      </c>
      <c r="E61" s="147">
        <v>120</v>
      </c>
      <c r="F61" s="149">
        <v>12012</v>
      </c>
      <c r="G61" s="147">
        <v>1</v>
      </c>
      <c r="H61" s="150">
        <v>0</v>
      </c>
      <c r="I61" s="151">
        <v>0</v>
      </c>
      <c r="J61" s="151">
        <v>0</v>
      </c>
      <c r="K61" s="151">
        <v>0</v>
      </c>
      <c r="L61" s="131"/>
      <c r="M61" s="341">
        <f>'Per-Ft'!$J$7+('Rent-List'!F61-12000)*'Per-Ft'!$H$8</f>
        <v>6917.063251965144</v>
      </c>
      <c r="N61" s="326">
        <f t="shared" si="1"/>
        <v>6917.063251965144</v>
      </c>
      <c r="P61" s="292"/>
      <c r="Q61" s="105"/>
      <c r="R61" s="107"/>
      <c r="S61" s="285"/>
      <c r="T61" s="593"/>
      <c r="U61" s="607"/>
      <c r="V61" s="463"/>
      <c r="W61" s="316"/>
      <c r="X61" s="316"/>
      <c r="Y61" s="108"/>
      <c r="Z61" s="108"/>
      <c r="AA61" s="108"/>
      <c r="AB61" s="108"/>
      <c r="AC61" s="108"/>
      <c r="AD61" s="132">
        <f t="shared" si="2"/>
        <v>6917.063251965144</v>
      </c>
      <c r="AE61" s="12"/>
      <c r="AF61" s="12"/>
      <c r="AG61" s="12"/>
      <c r="AH61" s="12"/>
    </row>
    <row r="62" spans="2:34" ht="15.75">
      <c r="B62" s="147">
        <v>682</v>
      </c>
      <c r="C62" s="147">
        <v>2315</v>
      </c>
      <c r="D62" s="148" t="s">
        <v>279</v>
      </c>
      <c r="E62" s="147" t="s">
        <v>317</v>
      </c>
      <c r="F62" s="149">
        <v>12060</v>
      </c>
      <c r="G62" s="147">
        <v>1</v>
      </c>
      <c r="H62" s="150">
        <v>0</v>
      </c>
      <c r="I62" s="130">
        <f>'Per-Ft'!$L$16</f>
        <v>254.17297500000132</v>
      </c>
      <c r="J62" s="151">
        <v>0</v>
      </c>
      <c r="K62" s="151">
        <v>0</v>
      </c>
      <c r="L62" s="131"/>
      <c r="M62" s="341">
        <f>'Per-Ft'!$J$7+('Rent-List'!F62-12000)*'Per-Ft'!$H$8</f>
        <v>6920.967348861144</v>
      </c>
      <c r="N62" s="326">
        <f t="shared" si="1"/>
        <v>7175.140323861146</v>
      </c>
      <c r="P62" s="292"/>
      <c r="Q62" s="105"/>
      <c r="R62" s="107"/>
      <c r="S62" s="285"/>
      <c r="T62" s="593"/>
      <c r="U62" s="607"/>
      <c r="V62" s="463"/>
      <c r="W62" s="316"/>
      <c r="X62" s="316"/>
      <c r="Y62" s="108"/>
      <c r="Z62" s="108"/>
      <c r="AA62" s="108"/>
      <c r="AB62" s="108"/>
      <c r="AC62" s="108"/>
      <c r="AD62" s="132">
        <f t="shared" si="2"/>
        <v>7175.140323861146</v>
      </c>
      <c r="AE62" s="12"/>
      <c r="AF62" s="12"/>
      <c r="AG62" s="12"/>
      <c r="AH62" s="12"/>
    </row>
    <row r="63" spans="2:34" ht="15.75">
      <c r="B63" s="147">
        <v>694</v>
      </c>
      <c r="C63" s="147">
        <v>2213</v>
      </c>
      <c r="D63" s="148" t="s">
        <v>1</v>
      </c>
      <c r="E63" s="147" t="s">
        <v>318</v>
      </c>
      <c r="F63" s="149">
        <v>12158</v>
      </c>
      <c r="G63" s="147">
        <v>1</v>
      </c>
      <c r="H63" s="150">
        <v>0</v>
      </c>
      <c r="I63" s="151">
        <v>0</v>
      </c>
      <c r="J63" s="151">
        <v>0</v>
      </c>
      <c r="K63" s="151">
        <v>0</v>
      </c>
      <c r="L63" s="131"/>
      <c r="M63" s="341">
        <f>'Per-Ft'!$J$7+('Rent-List'!F63-12000)*'Per-Ft'!$H$8</f>
        <v>6928.938213357144</v>
      </c>
      <c r="N63" s="326">
        <f t="shared" si="1"/>
        <v>6928.938213357144</v>
      </c>
      <c r="P63" s="292"/>
      <c r="Q63" s="105"/>
      <c r="R63" s="107"/>
      <c r="S63" s="285"/>
      <c r="T63" s="593"/>
      <c r="U63" s="607"/>
      <c r="V63" s="463"/>
      <c r="W63" s="316"/>
      <c r="X63" s="316"/>
      <c r="Y63" s="108"/>
      <c r="Z63" s="108"/>
      <c r="AA63" s="108"/>
      <c r="AB63" s="108"/>
      <c r="AC63" s="108"/>
      <c r="AD63" s="132">
        <f t="shared" si="2"/>
        <v>6928.938213357144</v>
      </c>
      <c r="AE63" s="12"/>
      <c r="AF63" s="12"/>
      <c r="AG63" s="12"/>
      <c r="AH63" s="12"/>
    </row>
    <row r="64" spans="2:34" ht="15.75">
      <c r="B64" s="147">
        <v>613</v>
      </c>
      <c r="C64" s="147">
        <v>2102</v>
      </c>
      <c r="D64" s="148" t="s">
        <v>164</v>
      </c>
      <c r="E64" s="147">
        <v>22</v>
      </c>
      <c r="F64" s="149">
        <v>12225</v>
      </c>
      <c r="G64" s="147">
        <v>1</v>
      </c>
      <c r="H64" s="150">
        <v>0</v>
      </c>
      <c r="I64" s="151">
        <v>0</v>
      </c>
      <c r="J64" s="151">
        <v>0</v>
      </c>
      <c r="K64" s="151">
        <v>0</v>
      </c>
      <c r="L64" s="131"/>
      <c r="M64" s="341">
        <f>'Per-Ft'!$J$7+('Rent-List'!F64-12000)*'Per-Ft'!$H$8</f>
        <v>6934.387681941144</v>
      </c>
      <c r="N64" s="326">
        <f t="shared" si="1"/>
        <v>6934.387681941144</v>
      </c>
      <c r="P64" s="292"/>
      <c r="Q64" s="105"/>
      <c r="R64" s="107"/>
      <c r="S64" s="285"/>
      <c r="T64" s="593"/>
      <c r="U64" s="607"/>
      <c r="V64" s="463"/>
      <c r="W64" s="316"/>
      <c r="X64" s="316"/>
      <c r="Y64" s="108"/>
      <c r="Z64" s="108"/>
      <c r="AA64" s="108"/>
      <c r="AB64" s="108"/>
      <c r="AC64" s="108"/>
      <c r="AD64" s="132">
        <f t="shared" si="2"/>
        <v>6934.387681941144</v>
      </c>
      <c r="AE64" s="12"/>
      <c r="AF64" s="12"/>
      <c r="AG64" s="12"/>
      <c r="AH64" s="12"/>
    </row>
    <row r="65" spans="2:34" ht="15.75">
      <c r="B65" s="147">
        <v>591</v>
      </c>
      <c r="C65" s="147">
        <v>2101</v>
      </c>
      <c r="D65" s="148" t="s">
        <v>64</v>
      </c>
      <c r="E65" s="147">
        <v>6</v>
      </c>
      <c r="F65" s="149">
        <v>12229</v>
      </c>
      <c r="G65" s="147">
        <v>1</v>
      </c>
      <c r="H65" s="150">
        <v>0</v>
      </c>
      <c r="I65" s="151">
        <v>0</v>
      </c>
      <c r="J65" s="130">
        <f>'Per-Ft'!$L$13</f>
        <v>254.1729750000004</v>
      </c>
      <c r="K65" s="151">
        <v>0</v>
      </c>
      <c r="L65" s="131"/>
      <c r="M65" s="341">
        <f>'Per-Ft'!$J$7+('Rent-List'!F65-12000)*'Per-Ft'!$H$8</f>
        <v>6934.713023349144</v>
      </c>
      <c r="N65" s="326">
        <f t="shared" si="1"/>
        <v>6680.540048349144</v>
      </c>
      <c r="P65" s="292"/>
      <c r="Q65" s="105"/>
      <c r="R65" s="107"/>
      <c r="S65" s="285"/>
      <c r="T65" s="593"/>
      <c r="U65" s="607"/>
      <c r="V65" s="463"/>
      <c r="W65" s="316"/>
      <c r="X65" s="316"/>
      <c r="Y65" s="108"/>
      <c r="Z65" s="108"/>
      <c r="AA65" s="108"/>
      <c r="AB65" s="108"/>
      <c r="AC65" s="108"/>
      <c r="AD65" s="132">
        <f t="shared" si="2"/>
        <v>6680.540048349144</v>
      </c>
      <c r="AE65" s="12"/>
      <c r="AF65" s="12"/>
      <c r="AG65" s="12"/>
      <c r="AH65" s="12"/>
    </row>
    <row r="66" spans="2:34" ht="15.75">
      <c r="B66" s="147">
        <v>542</v>
      </c>
      <c r="C66" s="147">
        <v>2117</v>
      </c>
      <c r="D66" s="148" t="s">
        <v>343</v>
      </c>
      <c r="E66" s="147">
        <v>137.5</v>
      </c>
      <c r="F66" s="149">
        <v>12325</v>
      </c>
      <c r="G66" s="147">
        <v>1</v>
      </c>
      <c r="H66" s="150">
        <f>'Per-Ft'!$L$19/2</f>
        <v>254.17297499999995</v>
      </c>
      <c r="I66" s="151">
        <v>0</v>
      </c>
      <c r="J66" s="151">
        <v>0</v>
      </c>
      <c r="K66" s="151">
        <v>0</v>
      </c>
      <c r="L66" s="131"/>
      <c r="M66" s="341">
        <f>'Per-Ft'!$J$7+('Rent-List'!F66-12000)*'Per-Ft'!$H$8</f>
        <v>6942.521217141145</v>
      </c>
      <c r="N66" s="326">
        <f t="shared" si="1"/>
        <v>7196.694192141145</v>
      </c>
      <c r="P66" s="292"/>
      <c r="Q66" s="105"/>
      <c r="R66" s="107"/>
      <c r="S66" s="285"/>
      <c r="T66" s="593"/>
      <c r="U66" s="607"/>
      <c r="V66" s="463"/>
      <c r="W66" s="316"/>
      <c r="X66" s="316"/>
      <c r="Y66" s="108"/>
      <c r="Z66" s="108"/>
      <c r="AA66" s="108"/>
      <c r="AB66" s="108"/>
      <c r="AC66" s="108"/>
      <c r="AD66" s="132">
        <f t="shared" si="2"/>
        <v>7196.694192141145</v>
      </c>
      <c r="AE66" s="12"/>
      <c r="AF66" s="12"/>
      <c r="AG66" s="12"/>
      <c r="AH66" s="12"/>
    </row>
    <row r="67" spans="1:34" ht="15.75">
      <c r="A67" s="165" t="s">
        <v>27</v>
      </c>
      <c r="B67" s="166">
        <v>644</v>
      </c>
      <c r="C67" s="166">
        <v>1802</v>
      </c>
      <c r="D67" s="167" t="s">
        <v>164</v>
      </c>
      <c r="E67" s="166">
        <v>51</v>
      </c>
      <c r="F67" s="168">
        <v>12556</v>
      </c>
      <c r="G67" s="166">
        <v>3</v>
      </c>
      <c r="H67" s="169">
        <v>0</v>
      </c>
      <c r="I67" s="170">
        <v>0</v>
      </c>
      <c r="J67" s="170">
        <v>0</v>
      </c>
      <c r="K67" s="170">
        <v>0</v>
      </c>
      <c r="L67" s="171"/>
      <c r="M67" s="536">
        <f>'Per-Ft'!$J$7+('Rent-List'!F67-12000)*'Per-Ft'!$H$8</f>
        <v>6961.309683453144</v>
      </c>
      <c r="N67" s="326">
        <f t="shared" si="1"/>
        <v>6961.309683453144</v>
      </c>
      <c r="O67" s="181"/>
      <c r="P67" s="295"/>
      <c r="Q67" s="180"/>
      <c r="R67" s="182"/>
      <c r="S67" s="287"/>
      <c r="T67" s="184"/>
      <c r="U67" s="183"/>
      <c r="V67" s="397"/>
      <c r="W67" s="318"/>
      <c r="X67" s="318"/>
      <c r="Y67" s="183"/>
      <c r="Z67" s="183"/>
      <c r="AA67" s="183"/>
      <c r="AB67" s="183"/>
      <c r="AC67" s="183"/>
      <c r="AD67" s="185">
        <f t="shared" si="2"/>
        <v>6961.309683453144</v>
      </c>
      <c r="AE67" s="12"/>
      <c r="AF67" s="12"/>
      <c r="AG67" s="12"/>
      <c r="AH67" s="12"/>
    </row>
    <row r="68" spans="2:34" ht="15.75">
      <c r="B68" s="164">
        <v>533</v>
      </c>
      <c r="C68" s="164">
        <v>2108</v>
      </c>
      <c r="D68" s="175" t="s">
        <v>295</v>
      </c>
      <c r="E68" s="164">
        <v>114.5</v>
      </c>
      <c r="F68" s="163">
        <v>12573</v>
      </c>
      <c r="G68" s="164">
        <v>1</v>
      </c>
      <c r="H68" s="189">
        <f>'Per-Ft'!$L$19</f>
        <v>508.3459499999999</v>
      </c>
      <c r="I68" s="176">
        <v>0</v>
      </c>
      <c r="J68" s="176">
        <v>0</v>
      </c>
      <c r="K68" s="176">
        <v>0</v>
      </c>
      <c r="L68" s="177"/>
      <c r="M68" s="341">
        <f>'Per-Ft'!$J$7+('Rent-List'!F68-12000)*'Per-Ft'!$H$8</f>
        <v>6962.692384437145</v>
      </c>
      <c r="N68" s="326">
        <f t="shared" si="1"/>
        <v>7471.038334437145</v>
      </c>
      <c r="P68" s="292"/>
      <c r="Q68" s="105"/>
      <c r="R68" s="107"/>
      <c r="S68" s="285"/>
      <c r="T68" s="593"/>
      <c r="U68" s="607"/>
      <c r="V68" s="463"/>
      <c r="W68" s="316"/>
      <c r="X68" s="316"/>
      <c r="Y68" s="108"/>
      <c r="Z68" s="108"/>
      <c r="AA68" s="108"/>
      <c r="AB68" s="108"/>
      <c r="AC68" s="108"/>
      <c r="AD68" s="132">
        <f t="shared" si="2"/>
        <v>7471.038334437145</v>
      </c>
      <c r="AE68" s="12"/>
      <c r="AF68" s="12"/>
      <c r="AG68" s="12"/>
      <c r="AH68" s="12"/>
    </row>
    <row r="69" spans="1:34" ht="15.75">
      <c r="A69" s="135" t="s">
        <v>199</v>
      </c>
      <c r="B69" s="136">
        <v>566</v>
      </c>
      <c r="C69" s="136">
        <v>2118</v>
      </c>
      <c r="D69" s="137" t="s">
        <v>398</v>
      </c>
      <c r="E69" s="136">
        <v>103.75</v>
      </c>
      <c r="F69" s="138">
        <v>12581</v>
      </c>
      <c r="G69" s="136">
        <v>2</v>
      </c>
      <c r="H69" s="139">
        <v>0</v>
      </c>
      <c r="I69" s="140">
        <v>0</v>
      </c>
      <c r="J69" s="140">
        <v>0</v>
      </c>
      <c r="K69" s="140">
        <v>0</v>
      </c>
      <c r="L69" s="141"/>
      <c r="M69" s="537">
        <f>'Per-Ft'!$J$7+('Rent-List'!F69-12000)*'Per-Ft'!$H$8</f>
        <v>6963.343067253145</v>
      </c>
      <c r="N69" s="326">
        <f t="shared" si="1"/>
        <v>6963.343067253145</v>
      </c>
      <c r="O69" s="283">
        <v>103.75</v>
      </c>
      <c r="P69" s="294">
        <v>5329</v>
      </c>
      <c r="Q69" s="143" t="s">
        <v>249</v>
      </c>
      <c r="R69" s="144">
        <v>900</v>
      </c>
      <c r="S69" s="154" t="s">
        <v>331</v>
      </c>
      <c r="T69" s="145">
        <v>900</v>
      </c>
      <c r="U69" s="317">
        <f>V69-Y69+Z69-AA69-AB69-AC69</f>
        <v>3936.9471000000017</v>
      </c>
      <c r="V69" s="395">
        <f>T69*$V$4</f>
        <v>10499.4</v>
      </c>
      <c r="W69" s="317">
        <v>162915</v>
      </c>
      <c r="X69" s="317"/>
      <c r="Y69" s="146">
        <f>W69*$Y$4</f>
        <v>4887.45</v>
      </c>
      <c r="Z69" s="146">
        <f>W69*$Z$4</f>
        <v>2769.5550000000003</v>
      </c>
      <c r="AA69" s="146">
        <f>W69*$AA$4</f>
        <v>2606.64</v>
      </c>
      <c r="AB69" s="317">
        <f>W69*$AB$4</f>
        <v>488.745</v>
      </c>
      <c r="AC69" s="395">
        <f>V69*$AC$4</f>
        <v>1349.1729</v>
      </c>
      <c r="AD69" s="156">
        <f t="shared" si="2"/>
        <v>10900.290167253146</v>
      </c>
      <c r="AE69" s="12"/>
      <c r="AF69" s="12"/>
      <c r="AG69" s="12"/>
      <c r="AH69" s="12"/>
    </row>
    <row r="70" spans="2:34" ht="15.75">
      <c r="B70" s="147">
        <v>509</v>
      </c>
      <c r="C70" s="147">
        <v>2108</v>
      </c>
      <c r="D70" s="148" t="s">
        <v>64</v>
      </c>
      <c r="E70" s="147">
        <v>95</v>
      </c>
      <c r="F70" s="149">
        <v>12833</v>
      </c>
      <c r="G70" s="147">
        <v>1</v>
      </c>
      <c r="H70" s="150">
        <v>0</v>
      </c>
      <c r="I70" s="151">
        <v>0</v>
      </c>
      <c r="J70" s="130">
        <v>0</v>
      </c>
      <c r="K70" s="130">
        <f>'Per-Ft'!$L$9</f>
        <v>508.34595000000263</v>
      </c>
      <c r="L70" s="131"/>
      <c r="M70" s="341">
        <f>'Per-Ft'!$J$7+('Rent-List'!F70-12000)*'Per-Ft'!$H$8</f>
        <v>6983.839575957145</v>
      </c>
      <c r="N70" s="326">
        <f t="shared" si="1"/>
        <v>6475.493625957142</v>
      </c>
      <c r="P70" s="292"/>
      <c r="Q70" s="105"/>
      <c r="R70" s="107"/>
      <c r="S70" s="285"/>
      <c r="T70" s="593"/>
      <c r="U70" s="607"/>
      <c r="V70" s="463"/>
      <c r="W70" s="316"/>
      <c r="X70" s="316"/>
      <c r="Y70" s="108"/>
      <c r="Z70" s="108"/>
      <c r="AA70" s="108"/>
      <c r="AB70" s="108"/>
      <c r="AC70" s="108"/>
      <c r="AD70" s="132">
        <f aca="true" t="shared" si="3" ref="AD70:AD101">N70+U70</f>
        <v>6475.493625957142</v>
      </c>
      <c r="AE70" s="12"/>
      <c r="AF70" s="12"/>
      <c r="AG70" s="12"/>
      <c r="AH70" s="12"/>
    </row>
    <row r="71" spans="1:34" ht="15.75">
      <c r="A71" s="165" t="s">
        <v>137</v>
      </c>
      <c r="B71" s="166">
        <v>568</v>
      </c>
      <c r="C71" s="166">
        <v>2119</v>
      </c>
      <c r="D71" s="167" t="s">
        <v>162</v>
      </c>
      <c r="E71" s="166">
        <v>102.5</v>
      </c>
      <c r="F71" s="168">
        <v>13141</v>
      </c>
      <c r="G71" s="166">
        <v>2</v>
      </c>
      <c r="H71" s="169">
        <v>0</v>
      </c>
      <c r="I71" s="170">
        <v>0</v>
      </c>
      <c r="J71" s="170">
        <v>0</v>
      </c>
      <c r="K71" s="170">
        <v>0</v>
      </c>
      <c r="L71" s="171"/>
      <c r="M71" s="536">
        <f>'Per-Ft'!$J$8+('Rent-List'!F71-13000)*'Per-Ft'!$H$9</f>
        <v>7008.661498680504</v>
      </c>
      <c r="N71" s="326">
        <f aca="true" t="shared" si="4" ref="N71:N134">M71+H71+I71-J71-K71-L71</f>
        <v>7008.661498680504</v>
      </c>
      <c r="O71" s="181"/>
      <c r="P71" s="295"/>
      <c r="Q71" s="180"/>
      <c r="R71" s="182"/>
      <c r="S71" s="287"/>
      <c r="T71" s="184"/>
      <c r="U71" s="183"/>
      <c r="V71" s="397"/>
      <c r="W71" s="318"/>
      <c r="X71" s="318"/>
      <c r="Y71" s="183"/>
      <c r="Z71" s="183"/>
      <c r="AA71" s="183"/>
      <c r="AB71" s="183"/>
      <c r="AC71" s="183"/>
      <c r="AD71" s="185">
        <f t="shared" si="3"/>
        <v>7008.661498680504</v>
      </c>
      <c r="AE71" s="12"/>
      <c r="AF71" s="12"/>
      <c r="AG71" s="12"/>
      <c r="AH71" s="12"/>
    </row>
    <row r="72" spans="2:34" ht="15.75">
      <c r="B72" s="147">
        <v>503</v>
      </c>
      <c r="C72" s="147">
        <v>2033</v>
      </c>
      <c r="D72" s="148" t="s">
        <v>55</v>
      </c>
      <c r="E72" s="147" t="s">
        <v>167</v>
      </c>
      <c r="F72" s="149">
        <v>13272</v>
      </c>
      <c r="G72" s="147">
        <v>1</v>
      </c>
      <c r="H72" s="150">
        <f>'Per-Ft'!$L$19</f>
        <v>508.3459499999999</v>
      </c>
      <c r="I72" s="151">
        <v>0</v>
      </c>
      <c r="J72" s="130">
        <f>'Per-Ft'!$L$13</f>
        <v>254.1729750000004</v>
      </c>
      <c r="K72" s="151">
        <v>0</v>
      </c>
      <c r="L72" s="131"/>
      <c r="M72" s="341">
        <f>'Per-Ft'!$J$8+('Rent-List'!F72-13000)*'Per-Ft'!$H$9</f>
        <v>7019.103331170265</v>
      </c>
      <c r="N72" s="326">
        <f t="shared" si="4"/>
        <v>7273.276306170264</v>
      </c>
      <c r="P72" s="292"/>
      <c r="Q72" s="105"/>
      <c r="R72" s="107"/>
      <c r="S72" s="285"/>
      <c r="T72" s="593"/>
      <c r="U72" s="607"/>
      <c r="V72" s="463"/>
      <c r="W72" s="316"/>
      <c r="X72" s="316"/>
      <c r="Y72" s="108"/>
      <c r="Z72" s="108"/>
      <c r="AA72" s="108"/>
      <c r="AB72" s="108"/>
      <c r="AC72" s="108"/>
      <c r="AD72" s="132">
        <f t="shared" si="3"/>
        <v>7273.276306170264</v>
      </c>
      <c r="AE72" s="12"/>
      <c r="AF72" s="12"/>
      <c r="AG72" s="12"/>
      <c r="AH72" s="12"/>
    </row>
    <row r="73" spans="2:34" ht="15.75">
      <c r="B73" s="147">
        <v>523</v>
      </c>
      <c r="C73" s="147">
        <v>2012</v>
      </c>
      <c r="D73" s="148" t="s">
        <v>294</v>
      </c>
      <c r="E73" s="147">
        <v>100</v>
      </c>
      <c r="F73" s="149">
        <v>13277</v>
      </c>
      <c r="G73" s="147">
        <v>1</v>
      </c>
      <c r="H73" s="150">
        <v>0</v>
      </c>
      <c r="I73" s="151">
        <v>0</v>
      </c>
      <c r="J73" s="151">
        <v>0</v>
      </c>
      <c r="K73" s="151">
        <v>0</v>
      </c>
      <c r="L73" s="131"/>
      <c r="M73" s="341">
        <f>'Per-Ft'!$J$8+('Rent-List'!F73-13000)*'Per-Ft'!$H$9</f>
        <v>7019.501874395065</v>
      </c>
      <c r="N73" s="326">
        <f t="shared" si="4"/>
        <v>7019.501874395065</v>
      </c>
      <c r="P73" s="292"/>
      <c r="Q73" s="105"/>
      <c r="R73" s="107"/>
      <c r="S73" s="285"/>
      <c r="T73" s="593"/>
      <c r="U73" s="607"/>
      <c r="V73" s="463"/>
      <c r="W73" s="316"/>
      <c r="X73" s="316"/>
      <c r="Y73" s="108"/>
      <c r="Z73" s="108"/>
      <c r="AA73" s="108"/>
      <c r="AB73" s="108"/>
      <c r="AC73" s="108"/>
      <c r="AD73" s="132">
        <f t="shared" si="3"/>
        <v>7019.501874395065</v>
      </c>
      <c r="AE73" s="12"/>
      <c r="AF73" s="12"/>
      <c r="AG73" s="12"/>
      <c r="AH73" s="12"/>
    </row>
    <row r="74" spans="2:34" ht="15.75">
      <c r="B74" s="147">
        <v>653</v>
      </c>
      <c r="C74" s="147">
        <v>2305</v>
      </c>
      <c r="D74" s="148" t="s">
        <v>134</v>
      </c>
      <c r="E74" s="147">
        <v>55.5</v>
      </c>
      <c r="F74" s="149">
        <v>13304</v>
      </c>
      <c r="G74" s="147">
        <v>1</v>
      </c>
      <c r="H74" s="150">
        <v>0</v>
      </c>
      <c r="I74" s="151">
        <v>0</v>
      </c>
      <c r="J74" s="151">
        <v>0</v>
      </c>
      <c r="K74" s="151">
        <v>0</v>
      </c>
      <c r="L74" s="131"/>
      <c r="M74" s="341">
        <f>'Per-Ft'!$J$8+('Rent-List'!F74-13000)*'Per-Ft'!$H$9</f>
        <v>7021.654007808985</v>
      </c>
      <c r="N74" s="326">
        <f t="shared" si="4"/>
        <v>7021.654007808985</v>
      </c>
      <c r="P74" s="292"/>
      <c r="Q74" s="105"/>
      <c r="R74" s="107"/>
      <c r="S74" s="285"/>
      <c r="T74" s="593"/>
      <c r="U74" s="607"/>
      <c r="V74" s="463"/>
      <c r="W74" s="316"/>
      <c r="X74" s="316"/>
      <c r="Y74" s="108"/>
      <c r="Z74" s="108"/>
      <c r="AA74" s="108"/>
      <c r="AB74" s="108"/>
      <c r="AC74" s="108"/>
      <c r="AD74" s="132">
        <f t="shared" si="3"/>
        <v>7021.654007808985</v>
      </c>
      <c r="AE74" s="12"/>
      <c r="AF74" s="12"/>
      <c r="AG74" s="12"/>
      <c r="AH74" s="12"/>
    </row>
    <row r="75" spans="2:34" ht="15.75">
      <c r="B75" s="147">
        <v>659</v>
      </c>
      <c r="C75" s="147">
        <v>2316</v>
      </c>
      <c r="D75" s="148" t="s">
        <v>134</v>
      </c>
      <c r="E75" s="147">
        <v>67</v>
      </c>
      <c r="F75" s="149">
        <v>13330</v>
      </c>
      <c r="G75" s="147">
        <v>1</v>
      </c>
      <c r="H75" s="150">
        <v>0</v>
      </c>
      <c r="I75" s="151">
        <v>0</v>
      </c>
      <c r="J75" s="151">
        <v>0</v>
      </c>
      <c r="K75" s="151">
        <v>0</v>
      </c>
      <c r="L75" s="131"/>
      <c r="M75" s="341">
        <f>'Per-Ft'!$J$8+('Rent-List'!F75-13000)*'Per-Ft'!$H$9</f>
        <v>7023.726432577944</v>
      </c>
      <c r="N75" s="326">
        <f t="shared" si="4"/>
        <v>7023.726432577944</v>
      </c>
      <c r="P75" s="292"/>
      <c r="Q75" s="105"/>
      <c r="R75" s="107"/>
      <c r="S75" s="285"/>
      <c r="T75" s="593"/>
      <c r="U75" s="607"/>
      <c r="V75" s="463"/>
      <c r="W75" s="316"/>
      <c r="X75" s="316"/>
      <c r="Y75" s="108"/>
      <c r="Z75" s="108"/>
      <c r="AA75" s="108"/>
      <c r="AB75" s="108"/>
      <c r="AC75" s="108"/>
      <c r="AD75" s="132">
        <f t="shared" si="3"/>
        <v>7023.726432577944</v>
      </c>
      <c r="AE75" s="12"/>
      <c r="AF75" s="12"/>
      <c r="AG75" s="12"/>
      <c r="AH75" s="12"/>
    </row>
    <row r="76" spans="1:34" ht="15.75">
      <c r="A76" s="135" t="s">
        <v>190</v>
      </c>
      <c r="B76" s="136">
        <v>686</v>
      </c>
      <c r="C76" s="136">
        <v>2210</v>
      </c>
      <c r="D76" s="137" t="s">
        <v>153</v>
      </c>
      <c r="E76" s="136" t="s">
        <v>191</v>
      </c>
      <c r="F76" s="138">
        <v>13362</v>
      </c>
      <c r="G76" s="136">
        <v>2</v>
      </c>
      <c r="H76" s="139">
        <v>0</v>
      </c>
      <c r="I76" s="140">
        <v>0</v>
      </c>
      <c r="J76" s="140">
        <v>0</v>
      </c>
      <c r="K76" s="140">
        <v>0</v>
      </c>
      <c r="L76" s="141"/>
      <c r="M76" s="537">
        <f>'Per-Ft'!$J$8+('Rent-List'!F76-13000)*'Per-Ft'!$H$9</f>
        <v>7026.277109216665</v>
      </c>
      <c r="N76" s="326">
        <f t="shared" si="4"/>
        <v>7026.277109216665</v>
      </c>
      <c r="O76" s="142" t="s">
        <v>191</v>
      </c>
      <c r="P76" s="294">
        <v>4694</v>
      </c>
      <c r="Q76" s="143" t="s">
        <v>154</v>
      </c>
      <c r="R76" s="144">
        <v>750</v>
      </c>
      <c r="S76" s="154" t="s">
        <v>7</v>
      </c>
      <c r="T76" s="145">
        <v>775</v>
      </c>
      <c r="U76" s="155">
        <f>V76-Y76+Z76-AA76-AB76-AC76</f>
        <v>3288.930225</v>
      </c>
      <c r="V76" s="395">
        <f>T76*$V$4</f>
        <v>9041.15</v>
      </c>
      <c r="W76" s="317">
        <v>143451</v>
      </c>
      <c r="X76" s="317"/>
      <c r="Y76" s="146">
        <f>W76*$Y$4</f>
        <v>4303.53</v>
      </c>
      <c r="Z76" s="146">
        <f>W76*$Z$4</f>
        <v>2438.6670000000004</v>
      </c>
      <c r="AA76" s="146">
        <f>W76*$AA$4</f>
        <v>2295.216</v>
      </c>
      <c r="AB76" s="317">
        <f>W76*$AB$4</f>
        <v>430.353</v>
      </c>
      <c r="AC76" s="395">
        <f>V76*$AC$4</f>
        <v>1161.787775</v>
      </c>
      <c r="AD76" s="156">
        <f t="shared" si="3"/>
        <v>10315.207334216666</v>
      </c>
      <c r="AE76" s="12"/>
      <c r="AF76" s="12"/>
      <c r="AG76" s="12"/>
      <c r="AH76" s="12"/>
    </row>
    <row r="77" spans="2:34" ht="15.75">
      <c r="B77" s="147">
        <v>577</v>
      </c>
      <c r="C77" s="147">
        <v>2000</v>
      </c>
      <c r="D77" s="148" t="s">
        <v>64</v>
      </c>
      <c r="E77" s="147">
        <v>127</v>
      </c>
      <c r="F77" s="149">
        <v>13455</v>
      </c>
      <c r="G77" s="147">
        <v>1</v>
      </c>
      <c r="H77" s="150">
        <v>0</v>
      </c>
      <c r="I77" s="151">
        <v>0</v>
      </c>
      <c r="J77" s="130">
        <v>0</v>
      </c>
      <c r="K77" s="130">
        <f>'Per-Ft'!$L$9</f>
        <v>508.34595000000263</v>
      </c>
      <c r="L77" s="131"/>
      <c r="M77" s="341">
        <f>'Per-Ft'!$J$8+('Rent-List'!F77-13000)*'Per-Ft'!$H$9</f>
        <v>7033.690013197945</v>
      </c>
      <c r="N77" s="326">
        <f t="shared" si="4"/>
        <v>6525.344063197942</v>
      </c>
      <c r="P77" s="292"/>
      <c r="Q77" s="105"/>
      <c r="R77" s="107"/>
      <c r="S77" s="285"/>
      <c r="T77" s="593"/>
      <c r="U77" s="607"/>
      <c r="V77" s="463"/>
      <c r="W77" s="316"/>
      <c r="X77" s="316"/>
      <c r="Y77" s="108"/>
      <c r="Z77" s="108"/>
      <c r="AA77" s="108"/>
      <c r="AB77" s="108"/>
      <c r="AC77" s="108"/>
      <c r="AD77" s="132">
        <f t="shared" si="3"/>
        <v>6525.344063197942</v>
      </c>
      <c r="AE77" s="12"/>
      <c r="AF77" s="12"/>
      <c r="AG77" s="12"/>
      <c r="AH77" s="12"/>
    </row>
    <row r="78" spans="2:34" ht="15.75">
      <c r="B78" s="147">
        <v>581</v>
      </c>
      <c r="C78" s="147">
        <v>2005</v>
      </c>
      <c r="D78" s="148" t="s">
        <v>64</v>
      </c>
      <c r="E78" s="147">
        <v>30</v>
      </c>
      <c r="F78" s="149">
        <v>13535</v>
      </c>
      <c r="G78" s="147">
        <v>1</v>
      </c>
      <c r="H78" s="150">
        <v>0</v>
      </c>
      <c r="I78" s="151">
        <v>0</v>
      </c>
      <c r="J78" s="130">
        <v>0</v>
      </c>
      <c r="K78" s="130">
        <f>'Per-Ft'!$L$9</f>
        <v>508.34595000000263</v>
      </c>
      <c r="L78" s="131"/>
      <c r="M78" s="341">
        <f>'Per-Ft'!$J$8+('Rent-List'!F78-13000)*'Per-Ft'!$H$9</f>
        <v>7040.0667047947445</v>
      </c>
      <c r="N78" s="326">
        <f t="shared" si="4"/>
        <v>6531.720754794742</v>
      </c>
      <c r="P78" s="292"/>
      <c r="Q78" s="105"/>
      <c r="R78" s="107"/>
      <c r="S78" s="285"/>
      <c r="T78" s="593"/>
      <c r="U78" s="607"/>
      <c r="V78" s="463"/>
      <c r="W78" s="316"/>
      <c r="X78" s="316"/>
      <c r="Y78" s="108"/>
      <c r="Z78" s="108"/>
      <c r="AA78" s="108"/>
      <c r="AB78" s="108"/>
      <c r="AC78" s="108"/>
      <c r="AD78" s="132">
        <f t="shared" si="3"/>
        <v>6531.720754794742</v>
      </c>
      <c r="AE78" s="12"/>
      <c r="AF78" s="12"/>
      <c r="AG78" s="12"/>
      <c r="AH78" s="12"/>
    </row>
    <row r="79" spans="1:34" ht="15.75">
      <c r="A79" s="265" t="s">
        <v>217</v>
      </c>
      <c r="B79" s="266">
        <v>500</v>
      </c>
      <c r="C79" s="266">
        <v>2115</v>
      </c>
      <c r="D79" s="267" t="s">
        <v>55</v>
      </c>
      <c r="E79" s="266">
        <v>88</v>
      </c>
      <c r="F79" s="268">
        <v>13560</v>
      </c>
      <c r="G79" s="266">
        <v>1</v>
      </c>
      <c r="H79" s="547"/>
      <c r="I79" s="548">
        <v>0</v>
      </c>
      <c r="J79" s="555">
        <f>'Per-Ft'!$L$13</f>
        <v>254.1729750000004</v>
      </c>
      <c r="K79" s="548">
        <v>0</v>
      </c>
      <c r="L79" s="549"/>
      <c r="M79" s="550">
        <f>'Per-Ft'!$J$10+('Rent-List'!F79-15000)*'Per-Ft'!$H$11</f>
        <v>7045.398765798132</v>
      </c>
      <c r="N79" s="326">
        <f t="shared" si="4"/>
        <v>6791.225790798132</v>
      </c>
      <c r="O79" s="271">
        <v>88</v>
      </c>
      <c r="P79" s="551">
        <v>2420</v>
      </c>
      <c r="Q79" s="272" t="s">
        <v>352</v>
      </c>
      <c r="R79" s="552">
        <v>820</v>
      </c>
      <c r="S79" s="553" t="s">
        <v>218</v>
      </c>
      <c r="T79" s="274">
        <v>1300</v>
      </c>
      <c r="U79" s="554">
        <f>V79-Y79+Z79-AA79-AB79-AC79</f>
        <v>8220.6747</v>
      </c>
      <c r="V79" s="405">
        <f>T79*$V$4</f>
        <v>15165.800000000001</v>
      </c>
      <c r="W79" s="325">
        <v>156135</v>
      </c>
      <c r="X79" s="325"/>
      <c r="Y79" s="275">
        <f>W79*$Y$4</f>
        <v>4684.05</v>
      </c>
      <c r="Z79" s="275">
        <f>W79*$Z$4</f>
        <v>2654.295</v>
      </c>
      <c r="AA79" s="275">
        <f>W79*$AA$4</f>
        <v>2498.16</v>
      </c>
      <c r="AB79" s="325">
        <f>W79*$AB$4</f>
        <v>468.40500000000003</v>
      </c>
      <c r="AC79" s="405">
        <f>V79*$AC$4</f>
        <v>1948.8053000000002</v>
      </c>
      <c r="AD79" s="276">
        <f t="shared" si="3"/>
        <v>15011.900490798133</v>
      </c>
      <c r="AE79" s="12"/>
      <c r="AF79" s="12"/>
      <c r="AG79" s="12"/>
      <c r="AH79" s="12"/>
    </row>
    <row r="80" spans="2:34" ht="15.75">
      <c r="B80" s="147">
        <v>642</v>
      </c>
      <c r="C80" s="147">
        <v>2207</v>
      </c>
      <c r="D80" s="148" t="s">
        <v>290</v>
      </c>
      <c r="E80" s="147">
        <v>52</v>
      </c>
      <c r="F80" s="149">
        <v>13772</v>
      </c>
      <c r="G80" s="147">
        <v>1</v>
      </c>
      <c r="H80" s="150">
        <v>0</v>
      </c>
      <c r="I80" s="130">
        <f>'Per-Ft'!$L$16</f>
        <v>254.17297500000132</v>
      </c>
      <c r="J80" s="151">
        <v>0</v>
      </c>
      <c r="K80" s="151">
        <v>0</v>
      </c>
      <c r="L80" s="131"/>
      <c r="M80" s="341">
        <f>'Per-Ft'!$J$8+('Rent-List'!F80-13000)*'Per-Ft'!$H$9</f>
        <v>7058.957653650265</v>
      </c>
      <c r="N80" s="326">
        <f t="shared" si="4"/>
        <v>7313.130628650266</v>
      </c>
      <c r="P80" s="292"/>
      <c r="Q80" s="105"/>
      <c r="R80" s="107"/>
      <c r="S80" s="285"/>
      <c r="T80" s="593"/>
      <c r="U80" s="607"/>
      <c r="V80" s="463"/>
      <c r="W80" s="316"/>
      <c r="X80" s="316"/>
      <c r="Y80" s="108"/>
      <c r="Z80" s="108"/>
      <c r="AA80" s="108"/>
      <c r="AB80" s="108"/>
      <c r="AC80" s="108"/>
      <c r="AD80" s="132">
        <f t="shared" si="3"/>
        <v>7313.130628650266</v>
      </c>
      <c r="AE80" s="12"/>
      <c r="AF80" s="12"/>
      <c r="AG80" s="12"/>
      <c r="AH80" s="12"/>
    </row>
    <row r="81" spans="2:34" ht="15.75">
      <c r="B81" s="164">
        <v>504</v>
      </c>
      <c r="C81" s="164">
        <v>2035</v>
      </c>
      <c r="D81" s="175" t="s">
        <v>55</v>
      </c>
      <c r="E81" s="164" t="s">
        <v>277</v>
      </c>
      <c r="F81" s="163">
        <v>13790</v>
      </c>
      <c r="G81" s="164">
        <v>1</v>
      </c>
      <c r="H81" s="150">
        <f>'Per-Ft'!$L$19</f>
        <v>508.3459499999999</v>
      </c>
      <c r="I81" s="176">
        <v>0</v>
      </c>
      <c r="J81" s="176">
        <v>0</v>
      </c>
      <c r="K81" s="176">
        <v>0</v>
      </c>
      <c r="L81" s="177"/>
      <c r="M81" s="341">
        <f>'Per-Ft'!$J$8+('Rent-List'!F81-13000)*'Per-Ft'!$H$9</f>
        <v>7060.392409259544</v>
      </c>
      <c r="N81" s="326">
        <f t="shared" si="4"/>
        <v>7568.738359259544</v>
      </c>
      <c r="P81" s="292"/>
      <c r="Q81" s="105"/>
      <c r="R81" s="107"/>
      <c r="S81" s="285"/>
      <c r="T81" s="593"/>
      <c r="U81" s="607"/>
      <c r="V81" s="463"/>
      <c r="W81" s="316"/>
      <c r="X81" s="316"/>
      <c r="Y81" s="108"/>
      <c r="Z81" s="108"/>
      <c r="AA81" s="108"/>
      <c r="AB81" s="108"/>
      <c r="AC81" s="108"/>
      <c r="AD81" s="132">
        <f t="shared" si="3"/>
        <v>7568.738359259544</v>
      </c>
      <c r="AE81" s="12"/>
      <c r="AF81" s="12"/>
      <c r="AG81" s="12"/>
      <c r="AH81" s="12"/>
    </row>
    <row r="82" spans="2:34" ht="15.75">
      <c r="B82" s="147">
        <v>632</v>
      </c>
      <c r="C82" s="147">
        <v>1809</v>
      </c>
      <c r="D82" s="148" t="s">
        <v>64</v>
      </c>
      <c r="E82" s="147">
        <v>44</v>
      </c>
      <c r="F82" s="149">
        <v>13955</v>
      </c>
      <c r="G82" s="147">
        <v>1</v>
      </c>
      <c r="H82" s="150">
        <v>0</v>
      </c>
      <c r="I82" s="151">
        <v>0</v>
      </c>
      <c r="J82" s="130">
        <f>'Per-Ft'!$L$13</f>
        <v>254.1729750000004</v>
      </c>
      <c r="K82" s="151">
        <v>0</v>
      </c>
      <c r="L82" s="131"/>
      <c r="M82" s="341">
        <f>'Per-Ft'!$J$8+('Rent-List'!F82-13000)*'Per-Ft'!$H$9</f>
        <v>7073.544335677944</v>
      </c>
      <c r="N82" s="326">
        <f t="shared" si="4"/>
        <v>6819.371360677944</v>
      </c>
      <c r="P82" s="292"/>
      <c r="Q82" s="105"/>
      <c r="R82" s="107"/>
      <c r="S82" s="285"/>
      <c r="T82" s="593"/>
      <c r="U82" s="607"/>
      <c r="V82" s="463"/>
      <c r="W82" s="316"/>
      <c r="X82" s="316"/>
      <c r="Y82" s="108"/>
      <c r="Z82" s="108"/>
      <c r="AA82" s="108"/>
      <c r="AB82" s="108"/>
      <c r="AC82" s="108"/>
      <c r="AD82" s="132">
        <f t="shared" si="3"/>
        <v>6819.371360677944</v>
      </c>
      <c r="AE82" s="12"/>
      <c r="AF82" s="12"/>
      <c r="AG82" s="12"/>
      <c r="AH82" s="12"/>
    </row>
    <row r="83" spans="2:34" ht="15.75">
      <c r="B83" s="147">
        <v>617</v>
      </c>
      <c r="C83" s="147">
        <v>2305</v>
      </c>
      <c r="D83" s="148" t="s">
        <v>398</v>
      </c>
      <c r="E83" s="147">
        <v>23.5</v>
      </c>
      <c r="F83" s="149">
        <v>13994</v>
      </c>
      <c r="G83" s="147">
        <v>1</v>
      </c>
      <c r="H83" s="150">
        <f>'Per-Ft'!$L$19</f>
        <v>508.3459499999999</v>
      </c>
      <c r="I83" s="151">
        <v>0</v>
      </c>
      <c r="J83" s="151">
        <v>0</v>
      </c>
      <c r="K83" s="151">
        <v>0</v>
      </c>
      <c r="L83" s="131"/>
      <c r="M83" s="341">
        <f>'Per-Ft'!$J$8+('Rent-List'!F83-13000)*'Per-Ft'!$H$9</f>
        <v>7076.652972831384</v>
      </c>
      <c r="N83" s="326">
        <f t="shared" si="4"/>
        <v>7584.998922831384</v>
      </c>
      <c r="P83" s="292"/>
      <c r="Q83" s="105"/>
      <c r="R83" s="107"/>
      <c r="S83" s="285"/>
      <c r="T83" s="593"/>
      <c r="U83" s="607"/>
      <c r="V83" s="463"/>
      <c r="W83" s="316"/>
      <c r="X83" s="316"/>
      <c r="Y83" s="108"/>
      <c r="Z83" s="108"/>
      <c r="AA83" s="108"/>
      <c r="AB83" s="108"/>
      <c r="AC83" s="108"/>
      <c r="AD83" s="132">
        <f t="shared" si="3"/>
        <v>7584.998922831384</v>
      </c>
      <c r="AE83" s="12"/>
      <c r="AF83" s="12"/>
      <c r="AG83" s="12"/>
      <c r="AH83" s="12"/>
    </row>
    <row r="84" spans="1:34" ht="15.75">
      <c r="A84" s="135" t="s">
        <v>86</v>
      </c>
      <c r="B84" s="136">
        <v>511</v>
      </c>
      <c r="C84" s="136">
        <v>2102</v>
      </c>
      <c r="D84" s="137" t="s">
        <v>64</v>
      </c>
      <c r="E84" s="136">
        <v>99</v>
      </c>
      <c r="F84" s="138">
        <v>14050</v>
      </c>
      <c r="G84" s="136">
        <v>2</v>
      </c>
      <c r="H84" s="139">
        <v>0</v>
      </c>
      <c r="I84" s="140">
        <v>0</v>
      </c>
      <c r="J84" s="152"/>
      <c r="K84" s="152">
        <f>'Per-Ft'!$L$9</f>
        <v>508.34595000000263</v>
      </c>
      <c r="L84" s="141"/>
      <c r="M84" s="537">
        <f>'Per-Ft'!$J$9+('Rent-List'!F84-14000)*'Per-Ft'!$H$10</f>
        <v>7081.033694890105</v>
      </c>
      <c r="N84" s="326">
        <f t="shared" si="4"/>
        <v>6572.687744890102</v>
      </c>
      <c r="O84" s="142">
        <v>99</v>
      </c>
      <c r="P84" s="294">
        <v>5950</v>
      </c>
      <c r="Q84" s="143" t="s">
        <v>53</v>
      </c>
      <c r="R84" s="144">
        <v>900</v>
      </c>
      <c r="S84" s="154"/>
      <c r="T84" s="145">
        <v>850</v>
      </c>
      <c r="U84" s="317">
        <f>V84-Y84+Z84-AA84-AB84-AC84</f>
        <v>4552.441149999999</v>
      </c>
      <c r="V84" s="395">
        <f>T84*$V$4</f>
        <v>9916.1</v>
      </c>
      <c r="W84" s="317">
        <v>127795</v>
      </c>
      <c r="X84" s="317"/>
      <c r="Y84" s="146">
        <f>W84*$Y$4</f>
        <v>3833.85</v>
      </c>
      <c r="Z84" s="146">
        <f>W84*$Z$4</f>
        <v>2172.5150000000003</v>
      </c>
      <c r="AA84" s="146">
        <f>W84*$AA$4</f>
        <v>2044.72</v>
      </c>
      <c r="AB84" s="317">
        <f>W84*$AB$4</f>
        <v>383.385</v>
      </c>
      <c r="AC84" s="395">
        <f>V84*$AC$4</f>
        <v>1274.21885</v>
      </c>
      <c r="AD84" s="156">
        <f t="shared" si="3"/>
        <v>11125.128894890102</v>
      </c>
      <c r="AE84" s="12"/>
      <c r="AF84" s="12"/>
      <c r="AG84" s="12"/>
      <c r="AH84" s="12"/>
    </row>
    <row r="85" spans="2:34" ht="15.75">
      <c r="B85" s="147">
        <v>677</v>
      </c>
      <c r="C85" s="147">
        <v>2409</v>
      </c>
      <c r="D85" s="148" t="s">
        <v>279</v>
      </c>
      <c r="E85" s="147">
        <v>77.5</v>
      </c>
      <c r="F85" s="149">
        <v>14435</v>
      </c>
      <c r="G85" s="147">
        <v>1</v>
      </c>
      <c r="H85" s="150">
        <f>'Per-Ft'!$L$19</f>
        <v>508.3459499999999</v>
      </c>
      <c r="I85" s="151">
        <v>0</v>
      </c>
      <c r="J85" s="151">
        <v>0</v>
      </c>
      <c r="K85" s="151">
        <v>0</v>
      </c>
      <c r="L85" s="131"/>
      <c r="M85" s="341">
        <f>'Per-Ft'!$J$9+('Rent-List'!F85-14000)*'Per-Ft'!$H$10</f>
        <v>7111.082715345096</v>
      </c>
      <c r="N85" s="326">
        <f t="shared" si="4"/>
        <v>7619.428665345096</v>
      </c>
      <c r="P85" s="292"/>
      <c r="Q85" s="105"/>
      <c r="R85" s="107"/>
      <c r="S85" s="285"/>
      <c r="T85" s="593"/>
      <c r="U85" s="607"/>
      <c r="V85" s="463"/>
      <c r="W85" s="316"/>
      <c r="X85" s="316"/>
      <c r="Y85" s="108"/>
      <c r="Z85" s="108"/>
      <c r="AA85" s="108"/>
      <c r="AB85" s="108"/>
      <c r="AC85" s="108"/>
      <c r="AD85" s="132">
        <f t="shared" si="3"/>
        <v>7619.428665345096</v>
      </c>
      <c r="AE85" s="12"/>
      <c r="AF85" s="12"/>
      <c r="AG85" s="12"/>
      <c r="AH85" s="12"/>
    </row>
    <row r="86" spans="2:34" ht="15.75">
      <c r="B86" s="147">
        <v>608</v>
      </c>
      <c r="C86" s="147">
        <v>2204</v>
      </c>
      <c r="D86" s="148" t="s">
        <v>1</v>
      </c>
      <c r="E86" s="147">
        <v>17.5</v>
      </c>
      <c r="F86" s="149">
        <v>14779</v>
      </c>
      <c r="G86" s="147">
        <v>1</v>
      </c>
      <c r="H86" s="150">
        <v>0</v>
      </c>
      <c r="I86" s="151">
        <v>0</v>
      </c>
      <c r="J86" s="151">
        <v>0</v>
      </c>
      <c r="K86" s="151">
        <v>0</v>
      </c>
      <c r="L86" s="131"/>
      <c r="M86" s="341">
        <f>'Per-Ft'!$J$9+('Rent-List'!F86-14000)*'Per-Ft'!$H$10</f>
        <v>7137.931710245141</v>
      </c>
      <c r="N86" s="326">
        <f t="shared" si="4"/>
        <v>7137.931710245141</v>
      </c>
      <c r="P86" s="292"/>
      <c r="Q86" s="105"/>
      <c r="R86" s="107"/>
      <c r="S86" s="285"/>
      <c r="T86" s="593"/>
      <c r="U86" s="607"/>
      <c r="V86" s="463"/>
      <c r="W86" s="316"/>
      <c r="X86" s="316"/>
      <c r="Y86" s="108"/>
      <c r="Z86" s="108"/>
      <c r="AA86" s="108"/>
      <c r="AB86" s="108"/>
      <c r="AC86" s="108"/>
      <c r="AD86" s="132">
        <f t="shared" si="3"/>
        <v>7137.931710245141</v>
      </c>
      <c r="AE86" s="12"/>
      <c r="AF86" s="12"/>
      <c r="AG86" s="12"/>
      <c r="AH86" s="12"/>
    </row>
    <row r="87" spans="2:34" ht="15.75">
      <c r="B87" s="147">
        <v>654</v>
      </c>
      <c r="C87" s="147">
        <v>2301</v>
      </c>
      <c r="D87" s="148" t="s">
        <v>134</v>
      </c>
      <c r="E87" s="147">
        <v>56</v>
      </c>
      <c r="F87" s="149">
        <v>14800</v>
      </c>
      <c r="G87" s="147">
        <v>1</v>
      </c>
      <c r="H87" s="150">
        <v>0</v>
      </c>
      <c r="I87" s="151">
        <v>0</v>
      </c>
      <c r="J87" s="151">
        <v>0</v>
      </c>
      <c r="K87" s="151">
        <v>0</v>
      </c>
      <c r="L87" s="131"/>
      <c r="M87" s="341">
        <f>'Per-Ft'!$J$9+('Rent-List'!F87-14000)*'Per-Ft'!$H$10</f>
        <v>7139.570747724505</v>
      </c>
      <c r="N87" s="326">
        <f t="shared" si="4"/>
        <v>7139.570747724505</v>
      </c>
      <c r="P87" s="292"/>
      <c r="Q87" s="105"/>
      <c r="R87" s="107"/>
      <c r="S87" s="285"/>
      <c r="T87" s="593"/>
      <c r="U87" s="607"/>
      <c r="V87" s="463"/>
      <c r="W87" s="316"/>
      <c r="X87" s="316"/>
      <c r="Y87" s="108"/>
      <c r="Z87" s="108"/>
      <c r="AA87" s="108"/>
      <c r="AB87" s="108"/>
      <c r="AC87" s="108"/>
      <c r="AD87" s="132">
        <f t="shared" si="3"/>
        <v>7139.570747724505</v>
      </c>
      <c r="AE87" s="12"/>
      <c r="AF87" s="12"/>
      <c r="AG87" s="12"/>
      <c r="AH87" s="12"/>
    </row>
    <row r="88" spans="2:34" ht="15.75">
      <c r="B88" s="147">
        <v>690</v>
      </c>
      <c r="C88" s="147">
        <v>2311</v>
      </c>
      <c r="D88" s="148" t="s">
        <v>279</v>
      </c>
      <c r="E88" s="147" t="s">
        <v>292</v>
      </c>
      <c r="F88" s="149">
        <v>14838</v>
      </c>
      <c r="G88" s="147">
        <v>1</v>
      </c>
      <c r="H88" s="150">
        <v>0</v>
      </c>
      <c r="I88" s="130">
        <f>'Per-Ft'!$L$16</f>
        <v>254.17297500000132</v>
      </c>
      <c r="J88" s="151">
        <v>0</v>
      </c>
      <c r="K88" s="151">
        <v>0</v>
      </c>
      <c r="L88" s="131"/>
      <c r="M88" s="341">
        <f>'Per-Ft'!$J$9+('Rent-List'!F88-14000)*'Per-Ft'!$H$10</f>
        <v>7142.5366250681145</v>
      </c>
      <c r="N88" s="326">
        <f t="shared" si="4"/>
        <v>7396.709600068116</v>
      </c>
      <c r="P88" s="292"/>
      <c r="Q88" s="105"/>
      <c r="R88" s="107"/>
      <c r="S88" s="285"/>
      <c r="T88" s="593"/>
      <c r="U88" s="607"/>
      <c r="V88" s="463"/>
      <c r="W88" s="316"/>
      <c r="X88" s="316"/>
      <c r="Y88" s="108"/>
      <c r="Z88" s="108"/>
      <c r="AA88" s="108"/>
      <c r="AB88" s="108"/>
      <c r="AC88" s="108"/>
      <c r="AD88" s="132">
        <f t="shared" si="3"/>
        <v>7396.709600068116</v>
      </c>
      <c r="AE88" s="12"/>
      <c r="AF88" s="12"/>
      <c r="AG88" s="12"/>
      <c r="AH88" s="12"/>
    </row>
    <row r="89" spans="2:34" ht="15.75">
      <c r="B89" s="147">
        <v>655</v>
      </c>
      <c r="C89" s="147">
        <v>1705</v>
      </c>
      <c r="D89" s="148" t="s">
        <v>164</v>
      </c>
      <c r="E89" s="147" t="s">
        <v>400</v>
      </c>
      <c r="F89" s="149">
        <v>14852</v>
      </c>
      <c r="G89" s="147">
        <v>1</v>
      </c>
      <c r="H89" s="150">
        <v>0</v>
      </c>
      <c r="I89" s="151">
        <v>0</v>
      </c>
      <c r="J89" s="151">
        <v>0</v>
      </c>
      <c r="K89" s="151">
        <v>0</v>
      </c>
      <c r="L89" s="131"/>
      <c r="M89" s="341">
        <f>'Per-Ft'!$J$9+('Rent-List'!F89-14000)*'Per-Ft'!$H$10</f>
        <v>7143.629316721023</v>
      </c>
      <c r="N89" s="326">
        <f t="shared" si="4"/>
        <v>7143.629316721023</v>
      </c>
      <c r="P89" s="292"/>
      <c r="Q89" s="105"/>
      <c r="R89" s="107"/>
      <c r="S89" s="285"/>
      <c r="T89" s="593"/>
      <c r="U89" s="607"/>
      <c r="V89" s="463"/>
      <c r="W89" s="316"/>
      <c r="X89" s="316"/>
      <c r="Y89" s="108"/>
      <c r="Z89" s="108"/>
      <c r="AA89" s="108"/>
      <c r="AB89" s="108"/>
      <c r="AC89" s="108"/>
      <c r="AD89" s="132">
        <f t="shared" si="3"/>
        <v>7143.629316721023</v>
      </c>
      <c r="AE89" s="12"/>
      <c r="AF89" s="12"/>
      <c r="AG89" s="12"/>
      <c r="AH89" s="12"/>
    </row>
    <row r="90" spans="2:34" ht="15.75">
      <c r="B90" s="147">
        <v>652</v>
      </c>
      <c r="C90" s="147">
        <v>2309</v>
      </c>
      <c r="D90" s="148" t="s">
        <v>134</v>
      </c>
      <c r="E90" s="147">
        <v>58</v>
      </c>
      <c r="F90" s="149">
        <v>14898</v>
      </c>
      <c r="G90" s="147">
        <v>1</v>
      </c>
      <c r="H90" s="150">
        <v>0</v>
      </c>
      <c r="I90" s="151">
        <v>0</v>
      </c>
      <c r="J90" s="151">
        <v>0</v>
      </c>
      <c r="K90" s="151">
        <v>0</v>
      </c>
      <c r="L90" s="131"/>
      <c r="M90" s="341">
        <f>'Per-Ft'!$J$9+('Rent-List'!F90-14000)*'Per-Ft'!$H$10</f>
        <v>7147.219589294867</v>
      </c>
      <c r="N90" s="326">
        <f t="shared" si="4"/>
        <v>7147.219589294867</v>
      </c>
      <c r="P90" s="292"/>
      <c r="Q90" s="105"/>
      <c r="R90" s="107"/>
      <c r="S90" s="285"/>
      <c r="T90" s="593"/>
      <c r="U90" s="607"/>
      <c r="V90" s="463"/>
      <c r="W90" s="316"/>
      <c r="X90" s="316"/>
      <c r="Y90" s="108"/>
      <c r="Z90" s="108"/>
      <c r="AA90" s="108"/>
      <c r="AB90" s="108"/>
      <c r="AC90" s="108"/>
      <c r="AD90" s="132">
        <f t="shared" si="3"/>
        <v>7147.219589294867</v>
      </c>
      <c r="AE90" s="12"/>
      <c r="AF90" s="12"/>
      <c r="AG90" s="12"/>
      <c r="AH90" s="12"/>
    </row>
    <row r="91" spans="2:34" ht="15.75">
      <c r="B91" s="147">
        <v>580</v>
      </c>
      <c r="C91" s="147">
        <v>2007</v>
      </c>
      <c r="D91" s="148" t="s">
        <v>64</v>
      </c>
      <c r="E91" s="147">
        <v>29.5</v>
      </c>
      <c r="F91" s="149">
        <v>14923</v>
      </c>
      <c r="G91" s="147">
        <v>1</v>
      </c>
      <c r="H91" s="150">
        <v>0</v>
      </c>
      <c r="I91" s="151">
        <v>0</v>
      </c>
      <c r="J91" s="130">
        <v>0</v>
      </c>
      <c r="K91" s="130">
        <f>'Per-Ft'!$L$9</f>
        <v>508.34595000000263</v>
      </c>
      <c r="L91" s="131"/>
      <c r="M91" s="341">
        <f>'Per-Ft'!$J$9+('Rent-List'!F91-14000)*'Per-Ft'!$H$10</f>
        <v>7149.170824389346</v>
      </c>
      <c r="N91" s="326">
        <f t="shared" si="4"/>
        <v>6640.824874389344</v>
      </c>
      <c r="P91" s="292"/>
      <c r="Q91" s="105"/>
      <c r="R91" s="107"/>
      <c r="S91" s="285"/>
      <c r="T91" s="593"/>
      <c r="U91" s="607"/>
      <c r="V91" s="463"/>
      <c r="W91" s="316"/>
      <c r="X91" s="316"/>
      <c r="Y91" s="108"/>
      <c r="Z91" s="108"/>
      <c r="AA91" s="108"/>
      <c r="AB91" s="108"/>
      <c r="AC91" s="108"/>
      <c r="AD91" s="132">
        <f t="shared" si="3"/>
        <v>6640.824874389344</v>
      </c>
      <c r="AE91" s="12"/>
      <c r="AF91" s="12"/>
      <c r="AG91" s="12"/>
      <c r="AH91" s="12"/>
    </row>
    <row r="92" spans="2:34" ht="15.75">
      <c r="B92" s="147">
        <v>596</v>
      </c>
      <c r="C92" s="147">
        <v>2109</v>
      </c>
      <c r="D92" s="148" t="s">
        <v>64</v>
      </c>
      <c r="E92" s="147">
        <v>5</v>
      </c>
      <c r="F92" s="149">
        <v>14993</v>
      </c>
      <c r="G92" s="147">
        <v>1</v>
      </c>
      <c r="H92" s="150">
        <v>0</v>
      </c>
      <c r="I92" s="151">
        <v>0</v>
      </c>
      <c r="J92" s="130">
        <v>0</v>
      </c>
      <c r="K92" s="130">
        <f>'Per-Ft'!$L$9</f>
        <v>508.34595000000263</v>
      </c>
      <c r="L92" s="131"/>
      <c r="M92" s="341">
        <f>'Per-Ft'!$J$9+('Rent-List'!F92-14000)*'Per-Ft'!$H$10</f>
        <v>7154.63428265389</v>
      </c>
      <c r="N92" s="326">
        <f t="shared" si="4"/>
        <v>6646.288332653888</v>
      </c>
      <c r="P92" s="292"/>
      <c r="Q92" s="105"/>
      <c r="R92" s="107"/>
      <c r="S92" s="285"/>
      <c r="T92" s="593"/>
      <c r="U92" s="607"/>
      <c r="V92" s="463"/>
      <c r="W92" s="316"/>
      <c r="X92" s="316"/>
      <c r="Y92" s="108"/>
      <c r="Z92" s="108"/>
      <c r="AA92" s="108"/>
      <c r="AB92" s="108"/>
      <c r="AC92" s="108"/>
      <c r="AD92" s="132">
        <f t="shared" si="3"/>
        <v>6646.288332653888</v>
      </c>
      <c r="AE92" s="12"/>
      <c r="AF92" s="12"/>
      <c r="AG92" s="12"/>
      <c r="AH92" s="12"/>
    </row>
    <row r="93" spans="2:34" ht="15.75">
      <c r="B93" s="147">
        <v>516</v>
      </c>
      <c r="C93" s="147">
        <v>2109</v>
      </c>
      <c r="D93" s="148" t="s">
        <v>294</v>
      </c>
      <c r="E93" s="147">
        <v>95.5</v>
      </c>
      <c r="F93" s="149">
        <v>15000</v>
      </c>
      <c r="G93" s="147">
        <v>1</v>
      </c>
      <c r="H93" s="150">
        <v>0</v>
      </c>
      <c r="I93" s="151">
        <v>0</v>
      </c>
      <c r="J93" s="151">
        <v>0</v>
      </c>
      <c r="K93" s="151">
        <v>0</v>
      </c>
      <c r="L93" s="131"/>
      <c r="M93" s="341">
        <f>'Per-Ft'!$J$10+('Rent-List'!F93-15000)*'Per-Ft'!$H$11</f>
        <v>7155.180628480345</v>
      </c>
      <c r="N93" s="326">
        <f t="shared" si="4"/>
        <v>7155.180628480345</v>
      </c>
      <c r="P93" s="292"/>
      <c r="Q93" s="105"/>
      <c r="R93" s="107"/>
      <c r="S93" s="285"/>
      <c r="T93" s="593"/>
      <c r="U93" s="607"/>
      <c r="V93" s="463"/>
      <c r="W93" s="316"/>
      <c r="X93" s="316"/>
      <c r="Y93" s="108"/>
      <c r="Z93" s="108"/>
      <c r="AA93" s="108"/>
      <c r="AB93" s="108"/>
      <c r="AC93" s="108"/>
      <c r="AD93" s="132">
        <f t="shared" si="3"/>
        <v>7155.180628480345</v>
      </c>
      <c r="AE93" s="12"/>
      <c r="AF93" s="12"/>
      <c r="AG93" s="12"/>
      <c r="AH93" s="12"/>
    </row>
    <row r="94" spans="1:34" ht="15.75">
      <c r="A94" s="135" t="s">
        <v>325</v>
      </c>
      <c r="B94" s="136">
        <v>656</v>
      </c>
      <c r="C94" s="136">
        <v>2308</v>
      </c>
      <c r="D94" s="137" t="s">
        <v>134</v>
      </c>
      <c r="E94" s="136">
        <v>64</v>
      </c>
      <c r="F94" s="138">
        <v>15000</v>
      </c>
      <c r="G94" s="136">
        <v>2</v>
      </c>
      <c r="H94" s="139">
        <v>0</v>
      </c>
      <c r="I94" s="140">
        <v>0</v>
      </c>
      <c r="J94" s="140">
        <v>0</v>
      </c>
      <c r="K94" s="140">
        <v>0</v>
      </c>
      <c r="L94" s="141"/>
      <c r="M94" s="537">
        <f>'Per-Ft'!$J$10+('Rent-List'!F94-15000)*'Per-Ft'!$H$11</f>
        <v>7155.180628480345</v>
      </c>
      <c r="N94" s="326">
        <f t="shared" si="4"/>
        <v>7155.180628480345</v>
      </c>
      <c r="O94" s="142">
        <v>64</v>
      </c>
      <c r="P94" s="294">
        <v>6126</v>
      </c>
      <c r="Q94" s="143" t="s">
        <v>155</v>
      </c>
      <c r="R94" s="144">
        <v>850</v>
      </c>
      <c r="S94" s="154" t="s">
        <v>7</v>
      </c>
      <c r="T94" s="145">
        <v>850</v>
      </c>
      <c r="U94" s="155">
        <f>V94-Y94+Z94-AA94-AB94-AC94</f>
        <v>4711.993150000001</v>
      </c>
      <c r="V94" s="395">
        <f>T94*$V$4</f>
        <v>9916.1</v>
      </c>
      <c r="W94" s="317">
        <v>122809</v>
      </c>
      <c r="X94" s="317"/>
      <c r="Y94" s="146">
        <f>W94*$Y$4</f>
        <v>3684.27</v>
      </c>
      <c r="Z94" s="146">
        <f>W94*$Z$4</f>
        <v>2087.753</v>
      </c>
      <c r="AA94" s="146">
        <f>W94*$AA$4</f>
        <v>1964.944</v>
      </c>
      <c r="AB94" s="317">
        <f>W94*$AB$4</f>
        <v>368.427</v>
      </c>
      <c r="AC94" s="395">
        <f>V94*$AC$4</f>
        <v>1274.21885</v>
      </c>
      <c r="AD94" s="156">
        <f t="shared" si="3"/>
        <v>11867.173778480346</v>
      </c>
      <c r="AE94" s="12"/>
      <c r="AF94" s="12"/>
      <c r="AG94" s="12"/>
      <c r="AH94" s="12"/>
    </row>
    <row r="95" spans="2:34" ht="15.75">
      <c r="B95" s="147">
        <v>651</v>
      </c>
      <c r="C95" s="147">
        <v>2311</v>
      </c>
      <c r="D95" s="148" t="s">
        <v>134</v>
      </c>
      <c r="E95" s="147">
        <v>58.5</v>
      </c>
      <c r="F95" s="149">
        <v>15000</v>
      </c>
      <c r="G95" s="147">
        <v>1</v>
      </c>
      <c r="H95" s="150">
        <v>0</v>
      </c>
      <c r="I95" s="151">
        <v>0</v>
      </c>
      <c r="J95" s="151">
        <v>0</v>
      </c>
      <c r="K95" s="151">
        <v>0</v>
      </c>
      <c r="L95" s="131"/>
      <c r="M95" s="341">
        <f>'Per-Ft'!$J$10+('Rent-List'!F95-15000)*'Per-Ft'!$H$11</f>
        <v>7155.180628480345</v>
      </c>
      <c r="N95" s="326">
        <f t="shared" si="4"/>
        <v>7155.180628480345</v>
      </c>
      <c r="P95" s="292"/>
      <c r="Q95" s="105"/>
      <c r="R95" s="107"/>
      <c r="S95" s="285"/>
      <c r="T95" s="593"/>
      <c r="U95" s="607"/>
      <c r="V95" s="463"/>
      <c r="W95" s="316"/>
      <c r="X95" s="316"/>
      <c r="Y95" s="108"/>
      <c r="Z95" s="108"/>
      <c r="AA95" s="108"/>
      <c r="AB95" s="108"/>
      <c r="AC95" s="108"/>
      <c r="AD95" s="132">
        <f t="shared" si="3"/>
        <v>7155.180628480345</v>
      </c>
      <c r="AE95" s="12"/>
      <c r="AF95" s="12"/>
      <c r="AG95" s="12"/>
      <c r="AH95" s="12"/>
    </row>
    <row r="96" spans="2:34" ht="15.75">
      <c r="B96" s="147">
        <v>638</v>
      </c>
      <c r="C96" s="147">
        <v>2210</v>
      </c>
      <c r="D96" s="148" t="s">
        <v>180</v>
      </c>
      <c r="E96" s="147">
        <v>50</v>
      </c>
      <c r="F96" s="149">
        <v>15123</v>
      </c>
      <c r="G96" s="147">
        <v>1</v>
      </c>
      <c r="H96" s="150">
        <v>0</v>
      </c>
      <c r="I96" s="130">
        <f>'Per-Ft'!$L$16</f>
        <v>254.17297500000132</v>
      </c>
      <c r="J96" s="151">
        <v>0</v>
      </c>
      <c r="K96" s="151">
        <v>0</v>
      </c>
      <c r="L96" s="131"/>
      <c r="M96" s="341">
        <f>'Per-Ft'!$J$10+('Rent-List'!F96-15000)*'Per-Ft'!$H$11</f>
        <v>7164.557829251117</v>
      </c>
      <c r="N96" s="326">
        <f t="shared" si="4"/>
        <v>7418.730804251119</v>
      </c>
      <c r="P96" s="292"/>
      <c r="Q96" s="105"/>
      <c r="R96" s="107"/>
      <c r="S96" s="285"/>
      <c r="T96" s="593"/>
      <c r="U96" s="607"/>
      <c r="V96" s="463"/>
      <c r="W96" s="316"/>
      <c r="X96" s="316"/>
      <c r="Y96" s="108"/>
      <c r="Z96" s="108"/>
      <c r="AA96" s="108"/>
      <c r="AB96" s="108"/>
      <c r="AC96" s="108"/>
      <c r="AD96" s="132">
        <f t="shared" si="3"/>
        <v>7418.730804251119</v>
      </c>
      <c r="AE96" s="12"/>
      <c r="AF96" s="12"/>
      <c r="AG96" s="12"/>
      <c r="AH96" s="12"/>
    </row>
    <row r="97" spans="2:34" ht="15.75">
      <c r="B97" s="147">
        <v>627</v>
      </c>
      <c r="C97" s="147">
        <v>1905</v>
      </c>
      <c r="D97" s="148" t="s">
        <v>64</v>
      </c>
      <c r="E97" s="147">
        <v>33</v>
      </c>
      <c r="F97" s="149">
        <v>15185</v>
      </c>
      <c r="G97" s="164">
        <v>1</v>
      </c>
      <c r="H97" s="150">
        <v>0</v>
      </c>
      <c r="I97" s="151">
        <v>0</v>
      </c>
      <c r="J97" s="151">
        <v>0</v>
      </c>
      <c r="K97" s="151">
        <v>0</v>
      </c>
      <c r="L97" s="131"/>
      <c r="M97" s="341">
        <f>'Per-Ft'!$J$10+('Rent-List'!F97-15000)*'Per-Ft'!$H$11</f>
        <v>7169.284548338824</v>
      </c>
      <c r="N97" s="326">
        <f t="shared" si="4"/>
        <v>7169.284548338824</v>
      </c>
      <c r="P97" s="292"/>
      <c r="Q97" s="105"/>
      <c r="R97" s="107"/>
      <c r="S97" s="285"/>
      <c r="T97" s="593"/>
      <c r="U97" s="607"/>
      <c r="V97" s="463"/>
      <c r="W97" s="316"/>
      <c r="X97" s="316"/>
      <c r="Y97" s="108"/>
      <c r="Z97" s="108"/>
      <c r="AA97" s="108"/>
      <c r="AB97" s="108"/>
      <c r="AC97" s="108"/>
      <c r="AD97" s="132">
        <f t="shared" si="3"/>
        <v>7169.284548338824</v>
      </c>
      <c r="AE97" s="12"/>
      <c r="AF97" s="12"/>
      <c r="AG97" s="12"/>
      <c r="AH97" s="12"/>
    </row>
    <row r="98" spans="2:34" ht="15.75">
      <c r="B98" s="147">
        <v>527</v>
      </c>
      <c r="C98" s="147">
        <v>1912</v>
      </c>
      <c r="D98" s="148" t="s">
        <v>294</v>
      </c>
      <c r="E98" s="147">
        <v>108</v>
      </c>
      <c r="F98" s="163">
        <v>15316</v>
      </c>
      <c r="G98" s="147">
        <v>1</v>
      </c>
      <c r="H98" s="150">
        <f>'Per-Ft'!$L$19</f>
        <v>508.3459499999999</v>
      </c>
      <c r="I98" s="151">
        <v>0</v>
      </c>
      <c r="J98" s="151">
        <v>0</v>
      </c>
      <c r="K98" s="151">
        <v>0</v>
      </c>
      <c r="L98" s="131"/>
      <c r="M98" s="341">
        <f>'Per-Ft'!$J$10+('Rent-List'!F98-15000)*'Per-Ft'!$H$11</f>
        <v>7179.271648346719</v>
      </c>
      <c r="N98" s="326">
        <f t="shared" si="4"/>
        <v>7687.617598346719</v>
      </c>
      <c r="P98" s="292"/>
      <c r="Q98" s="105"/>
      <c r="R98" s="107"/>
      <c r="S98" s="285"/>
      <c r="T98" s="593"/>
      <c r="U98" s="607"/>
      <c r="V98" s="463"/>
      <c r="W98" s="316"/>
      <c r="X98" s="316"/>
      <c r="Y98" s="108"/>
      <c r="Z98" s="108"/>
      <c r="AA98" s="108"/>
      <c r="AB98" s="108"/>
      <c r="AC98" s="108"/>
      <c r="AD98" s="132">
        <f t="shared" si="3"/>
        <v>7687.617598346719</v>
      </c>
      <c r="AE98" s="12"/>
      <c r="AF98" s="12"/>
      <c r="AG98" s="12"/>
      <c r="AH98" s="12"/>
    </row>
    <row r="99" spans="2:34" ht="15.75">
      <c r="B99" s="147">
        <v>567</v>
      </c>
      <c r="C99" s="147">
        <v>2002</v>
      </c>
      <c r="D99" s="148" t="s">
        <v>68</v>
      </c>
      <c r="E99" s="147">
        <v>102</v>
      </c>
      <c r="F99" s="149">
        <v>15359</v>
      </c>
      <c r="G99" s="147">
        <v>1</v>
      </c>
      <c r="H99" s="150">
        <v>0</v>
      </c>
      <c r="I99" s="130">
        <v>0</v>
      </c>
      <c r="J99" s="151">
        <v>0</v>
      </c>
      <c r="K99" s="151">
        <v>0</v>
      </c>
      <c r="L99" s="131"/>
      <c r="M99" s="341">
        <f>'Per-Ft'!$J$10+('Rent-List'!F99-15000)*'Per-Ft'!$H$11</f>
        <v>7182.549856746258</v>
      </c>
      <c r="N99" s="326">
        <f t="shared" si="4"/>
        <v>7182.549856746258</v>
      </c>
      <c r="P99" s="292"/>
      <c r="Q99" s="105"/>
      <c r="R99" s="107"/>
      <c r="S99" s="285"/>
      <c r="T99" s="593"/>
      <c r="U99" s="607"/>
      <c r="V99" s="463"/>
      <c r="W99" s="316"/>
      <c r="X99" s="316"/>
      <c r="Y99" s="108"/>
      <c r="Z99" s="108"/>
      <c r="AA99" s="108"/>
      <c r="AB99" s="108"/>
      <c r="AC99" s="108"/>
      <c r="AD99" s="132">
        <f t="shared" si="3"/>
        <v>7182.549856746258</v>
      </c>
      <c r="AE99" s="12"/>
      <c r="AF99" s="12"/>
      <c r="AG99" s="12"/>
      <c r="AH99" s="12"/>
    </row>
    <row r="100" spans="2:34" ht="15.75">
      <c r="B100" s="147">
        <v>585</v>
      </c>
      <c r="C100" s="147" t="s">
        <v>59</v>
      </c>
      <c r="D100" s="148" t="s">
        <v>153</v>
      </c>
      <c r="E100" s="147" t="s">
        <v>391</v>
      </c>
      <c r="F100" s="149">
        <v>15395</v>
      </c>
      <c r="G100" s="147">
        <v>1</v>
      </c>
      <c r="H100" s="150">
        <v>0</v>
      </c>
      <c r="I100" s="151">
        <v>0</v>
      </c>
      <c r="J100" s="151">
        <v>0</v>
      </c>
      <c r="K100" s="151">
        <v>0</v>
      </c>
      <c r="L100" s="131"/>
      <c r="M100" s="341">
        <f>'Per-Ft'!$J$10+('Rent-List'!F100-15000)*'Per-Ft'!$H$11</f>
        <v>7185.2944033133135</v>
      </c>
      <c r="N100" s="326">
        <f t="shared" si="4"/>
        <v>7185.2944033133135</v>
      </c>
      <c r="P100" s="292"/>
      <c r="Q100" s="105"/>
      <c r="R100" s="107"/>
      <c r="S100" s="285"/>
      <c r="T100" s="593"/>
      <c r="U100" s="607"/>
      <c r="V100" s="463"/>
      <c r="W100" s="316"/>
      <c r="X100" s="316"/>
      <c r="Y100" s="108"/>
      <c r="Z100" s="108"/>
      <c r="AA100" s="108"/>
      <c r="AB100" s="108"/>
      <c r="AC100" s="108"/>
      <c r="AD100" s="132">
        <f t="shared" si="3"/>
        <v>7185.2944033133135</v>
      </c>
      <c r="AE100" s="12"/>
      <c r="AF100" s="12"/>
      <c r="AG100" s="12"/>
      <c r="AH100" s="12"/>
    </row>
    <row r="101" spans="2:34" ht="15.75">
      <c r="B101" s="147">
        <v>508</v>
      </c>
      <c r="C101" s="147">
        <v>2112</v>
      </c>
      <c r="D101" s="148" t="s">
        <v>64</v>
      </c>
      <c r="E101" s="147">
        <v>94</v>
      </c>
      <c r="F101" s="149">
        <v>15900</v>
      </c>
      <c r="G101" s="147">
        <v>1</v>
      </c>
      <c r="H101" s="150">
        <v>0</v>
      </c>
      <c r="I101" s="151">
        <v>0</v>
      </c>
      <c r="J101" s="130">
        <f>'Per-Ft'!$L$13</f>
        <v>254.1729750000004</v>
      </c>
      <c r="K101" s="151">
        <v>0</v>
      </c>
      <c r="L101" s="131"/>
      <c r="M101" s="341">
        <f>'Per-Ft'!$J$10+('Rent-List'!F101-15000)*'Per-Ft'!$H$11</f>
        <v>7223.7942926567275</v>
      </c>
      <c r="N101" s="326">
        <f t="shared" si="4"/>
        <v>6969.621317656727</v>
      </c>
      <c r="P101" s="292"/>
      <c r="Q101" s="105"/>
      <c r="R101" s="107"/>
      <c r="S101" s="285"/>
      <c r="T101" s="593"/>
      <c r="U101" s="607"/>
      <c r="V101" s="463"/>
      <c r="W101" s="316"/>
      <c r="X101" s="316"/>
      <c r="Y101" s="108"/>
      <c r="Z101" s="108"/>
      <c r="AA101" s="108"/>
      <c r="AB101" s="108"/>
      <c r="AC101" s="108"/>
      <c r="AD101" s="132">
        <f t="shared" si="3"/>
        <v>6969.621317656727</v>
      </c>
      <c r="AE101" s="12"/>
      <c r="AF101" s="12"/>
      <c r="AG101" s="12"/>
      <c r="AH101" s="12"/>
    </row>
    <row r="102" spans="2:34" ht="15.75">
      <c r="B102" s="147">
        <v>501</v>
      </c>
      <c r="C102" s="147">
        <v>2107</v>
      </c>
      <c r="D102" s="148" t="s">
        <v>55</v>
      </c>
      <c r="E102" s="147">
        <v>86.5</v>
      </c>
      <c r="F102" s="149">
        <v>16000</v>
      </c>
      <c r="G102" s="147">
        <v>1</v>
      </c>
      <c r="H102" s="150">
        <v>0</v>
      </c>
      <c r="I102" s="151">
        <v>0</v>
      </c>
      <c r="J102" s="130">
        <v>0</v>
      </c>
      <c r="K102" s="130">
        <f>'Per-Ft'!$L$9</f>
        <v>508.34595000000263</v>
      </c>
      <c r="L102" s="131"/>
      <c r="M102" s="341">
        <f>'Per-Ft'!$J$11+('Rent-List'!F102-16000)*'Per-Ft'!$H$12</f>
        <v>7231.41803312077</v>
      </c>
      <c r="N102" s="326">
        <f t="shared" si="4"/>
        <v>6723.072083120767</v>
      </c>
      <c r="P102" s="292"/>
      <c r="Q102" s="105"/>
      <c r="R102" s="107"/>
      <c r="S102" s="285"/>
      <c r="T102" s="593"/>
      <c r="U102" s="607"/>
      <c r="V102" s="463"/>
      <c r="W102" s="316"/>
      <c r="X102" s="316"/>
      <c r="Y102" s="108"/>
      <c r="Z102" s="108"/>
      <c r="AA102" s="108"/>
      <c r="AB102" s="108"/>
      <c r="AC102" s="108"/>
      <c r="AD102" s="132">
        <f aca="true" t="shared" si="5" ref="AD102:AD133">N102+U102</f>
        <v>6723.072083120767</v>
      </c>
      <c r="AE102" s="12"/>
      <c r="AF102" s="12"/>
      <c r="AG102" s="12"/>
      <c r="AH102" s="12"/>
    </row>
    <row r="103" spans="2:34" ht="15.75">
      <c r="B103" s="147">
        <v>683</v>
      </c>
      <c r="C103" s="147">
        <v>2313</v>
      </c>
      <c r="D103" s="148" t="s">
        <v>279</v>
      </c>
      <c r="E103" s="147" t="s">
        <v>297</v>
      </c>
      <c r="F103" s="149">
        <v>16157</v>
      </c>
      <c r="G103" s="147">
        <v>1</v>
      </c>
      <c r="H103" s="150">
        <f>'Per-Ft'!$L$19</f>
        <v>508.3459499999999</v>
      </c>
      <c r="I103" s="151">
        <v>0</v>
      </c>
      <c r="J103" s="151">
        <v>0</v>
      </c>
      <c r="K103" s="151">
        <v>0</v>
      </c>
      <c r="L103" s="131"/>
      <c r="M103" s="341">
        <f>'Per-Ft'!$J$11+('Rent-List'!F103-16000)*'Per-Ft'!$H$12</f>
        <v>7242.982547641105</v>
      </c>
      <c r="N103" s="326">
        <f t="shared" si="4"/>
        <v>7751.328497641105</v>
      </c>
      <c r="P103" s="292"/>
      <c r="Q103" s="105"/>
      <c r="R103" s="107"/>
      <c r="S103" s="285"/>
      <c r="T103" s="593"/>
      <c r="U103" s="607"/>
      <c r="V103" s="463"/>
      <c r="W103" s="316"/>
      <c r="X103" s="316"/>
      <c r="Y103" s="108"/>
      <c r="Z103" s="108"/>
      <c r="AA103" s="108"/>
      <c r="AB103" s="108"/>
      <c r="AC103" s="108"/>
      <c r="AD103" s="132">
        <f t="shared" si="5"/>
        <v>7751.328497641105</v>
      </c>
      <c r="AE103" s="12"/>
      <c r="AF103" s="12"/>
      <c r="AG103" s="12"/>
      <c r="AH103" s="12"/>
    </row>
    <row r="104" spans="2:34" ht="15.75">
      <c r="B104" s="147">
        <v>625</v>
      </c>
      <c r="C104" s="147">
        <v>2212</v>
      </c>
      <c r="D104" s="148" t="s">
        <v>153</v>
      </c>
      <c r="E104" s="147">
        <v>36</v>
      </c>
      <c r="F104" s="149">
        <v>16346</v>
      </c>
      <c r="G104" s="147">
        <v>1</v>
      </c>
      <c r="H104" s="150">
        <v>0</v>
      </c>
      <c r="I104" s="151">
        <v>0</v>
      </c>
      <c r="J104" s="151">
        <v>0</v>
      </c>
      <c r="K104" s="151">
        <v>0</v>
      </c>
      <c r="L104" s="131"/>
      <c r="M104" s="341">
        <f>'Per-Ft'!$J$11+('Rent-List'!F104-16000)*'Per-Ft'!$H$12</f>
        <v>7256.9041606624</v>
      </c>
      <c r="N104" s="326">
        <f t="shared" si="4"/>
        <v>7256.9041606624</v>
      </c>
      <c r="P104" s="292"/>
      <c r="Q104" s="105"/>
      <c r="R104" s="107"/>
      <c r="S104" s="285"/>
      <c r="T104" s="593"/>
      <c r="U104" s="607"/>
      <c r="V104" s="463"/>
      <c r="W104" s="316"/>
      <c r="X104" s="316"/>
      <c r="Y104" s="108"/>
      <c r="Z104" s="108"/>
      <c r="AA104" s="108"/>
      <c r="AB104" s="108"/>
      <c r="AC104" s="108"/>
      <c r="AD104" s="132">
        <f t="shared" si="5"/>
        <v>7256.9041606624</v>
      </c>
      <c r="AE104" s="12"/>
      <c r="AF104" s="12"/>
      <c r="AG104" s="12"/>
      <c r="AH104" s="12"/>
    </row>
    <row r="105" spans="2:34" ht="15.75">
      <c r="B105" s="147">
        <v>507</v>
      </c>
      <c r="C105" s="147">
        <v>2114</v>
      </c>
      <c r="D105" s="148" t="s">
        <v>294</v>
      </c>
      <c r="E105" s="147">
        <v>89</v>
      </c>
      <c r="F105" s="149">
        <v>16380</v>
      </c>
      <c r="G105" s="147">
        <v>1</v>
      </c>
      <c r="H105" s="150">
        <v>0</v>
      </c>
      <c r="I105" s="151">
        <v>0</v>
      </c>
      <c r="J105" s="151">
        <v>0</v>
      </c>
      <c r="K105" s="151">
        <v>0</v>
      </c>
      <c r="L105" s="131"/>
      <c r="M105" s="341">
        <f>'Per-Ft'!$J$11+('Rent-List'!F105-16000)*'Per-Ft'!$H$12</f>
        <v>7259.40857781967</v>
      </c>
      <c r="N105" s="326">
        <f t="shared" si="4"/>
        <v>7259.40857781967</v>
      </c>
      <c r="P105" s="292"/>
      <c r="Q105" s="105"/>
      <c r="R105" s="107"/>
      <c r="S105" s="285"/>
      <c r="T105" s="593"/>
      <c r="U105" s="607"/>
      <c r="V105" s="463"/>
      <c r="W105" s="316"/>
      <c r="X105" s="316"/>
      <c r="Y105" s="108"/>
      <c r="Z105" s="108"/>
      <c r="AA105" s="108"/>
      <c r="AB105" s="108"/>
      <c r="AC105" s="108"/>
      <c r="AD105" s="132">
        <f t="shared" si="5"/>
        <v>7259.40857781967</v>
      </c>
      <c r="AE105" s="12"/>
      <c r="AF105" s="12"/>
      <c r="AG105" s="12"/>
      <c r="AH105" s="12"/>
    </row>
    <row r="106" spans="2:34" ht="15.75">
      <c r="B106" s="147">
        <v>502</v>
      </c>
      <c r="C106" s="147">
        <v>2101</v>
      </c>
      <c r="D106" s="148" t="s">
        <v>55</v>
      </c>
      <c r="E106" s="147" t="s">
        <v>393</v>
      </c>
      <c r="F106" s="149">
        <v>16402</v>
      </c>
      <c r="G106" s="147">
        <v>1</v>
      </c>
      <c r="H106" s="150">
        <v>0</v>
      </c>
      <c r="I106" s="151">
        <v>0</v>
      </c>
      <c r="J106" s="130">
        <f>'Per-Ft'!$L$13</f>
        <v>254.1729750000004</v>
      </c>
      <c r="K106" s="151">
        <v>0</v>
      </c>
      <c r="L106" s="131"/>
      <c r="M106" s="341">
        <f>'Per-Ft'!$J$11+('Rent-List'!F106-16000)*'Per-Ft'!$H$12</f>
        <v>7261.02908303908</v>
      </c>
      <c r="N106" s="326">
        <f t="shared" si="4"/>
        <v>7006.85610803908</v>
      </c>
      <c r="P106" s="292"/>
      <c r="Q106" s="105"/>
      <c r="R106" s="107"/>
      <c r="S106" s="285"/>
      <c r="T106" s="593"/>
      <c r="U106" s="607"/>
      <c r="V106" s="463"/>
      <c r="W106" s="316"/>
      <c r="X106" s="316"/>
      <c r="Y106" s="108"/>
      <c r="Z106" s="108"/>
      <c r="AA106" s="108"/>
      <c r="AB106" s="108"/>
      <c r="AC106" s="108"/>
      <c r="AD106" s="132">
        <f t="shared" si="5"/>
        <v>7006.85610803908</v>
      </c>
      <c r="AE106" s="12"/>
      <c r="AF106" s="12"/>
      <c r="AG106" s="12"/>
      <c r="AH106" s="12"/>
    </row>
    <row r="107" spans="2:34" ht="15.75">
      <c r="B107" s="147">
        <v>530</v>
      </c>
      <c r="C107" s="147">
        <v>1904</v>
      </c>
      <c r="D107" s="148" t="s">
        <v>294</v>
      </c>
      <c r="E107" s="147">
        <v>112</v>
      </c>
      <c r="F107" s="149">
        <v>16519</v>
      </c>
      <c r="G107" s="147">
        <v>1</v>
      </c>
      <c r="H107" s="150">
        <f>'Per-Ft'!$L$19</f>
        <v>508.3459499999999</v>
      </c>
      <c r="I107" s="130">
        <f>'Per-Ft'!$L$16</f>
        <v>254.17297500000132</v>
      </c>
      <c r="J107" s="151">
        <v>0</v>
      </c>
      <c r="K107" s="151">
        <v>0</v>
      </c>
      <c r="L107" s="131">
        <f>'Per-Ft'!$L$5</f>
        <v>254.1729750000004</v>
      </c>
      <c r="M107" s="341">
        <f>'Per-Ft'!$J$11+('Rent-List'!F107-16000)*'Per-Ft'!$H$12</f>
        <v>7269.647224433215</v>
      </c>
      <c r="N107" s="326">
        <f t="shared" si="4"/>
        <v>7777.993174433216</v>
      </c>
      <c r="P107" s="292"/>
      <c r="Q107" s="105"/>
      <c r="R107" s="107"/>
      <c r="S107" s="285"/>
      <c r="T107" s="593"/>
      <c r="U107" s="607"/>
      <c r="V107" s="463"/>
      <c r="W107" s="316"/>
      <c r="X107" s="316"/>
      <c r="Y107" s="108"/>
      <c r="Z107" s="108"/>
      <c r="AA107" s="108"/>
      <c r="AB107" s="108"/>
      <c r="AC107" s="108"/>
      <c r="AD107" s="132">
        <f t="shared" si="5"/>
        <v>7777.993174433216</v>
      </c>
      <c r="AE107" s="12"/>
      <c r="AF107" s="12"/>
      <c r="AG107" s="12"/>
      <c r="AH107" s="12"/>
    </row>
    <row r="108" spans="2:34" ht="15.75">
      <c r="B108" s="147">
        <v>541</v>
      </c>
      <c r="C108" s="147">
        <v>2115</v>
      </c>
      <c r="D108" s="148" t="s">
        <v>343</v>
      </c>
      <c r="E108" s="147">
        <v>137</v>
      </c>
      <c r="F108" s="149">
        <v>16675</v>
      </c>
      <c r="G108" s="147">
        <v>1</v>
      </c>
      <c r="H108" s="150">
        <f>'Per-Ft'!$L$19/2</f>
        <v>254.17297499999995</v>
      </c>
      <c r="I108" s="151">
        <v>0</v>
      </c>
      <c r="J108" s="151">
        <v>0</v>
      </c>
      <c r="K108" s="151">
        <v>0</v>
      </c>
      <c r="L108" s="131"/>
      <c r="M108" s="341">
        <f>'Per-Ft'!$J$11+('Rent-List'!F108-16000)*'Per-Ft'!$H$12</f>
        <v>7281.138079625395</v>
      </c>
      <c r="N108" s="326">
        <f t="shared" si="4"/>
        <v>7535.311054625396</v>
      </c>
      <c r="P108" s="292"/>
      <c r="Q108" s="105"/>
      <c r="R108" s="107"/>
      <c r="S108" s="285"/>
      <c r="T108" s="593"/>
      <c r="U108" s="607"/>
      <c r="V108" s="463"/>
      <c r="W108" s="316"/>
      <c r="X108" s="316"/>
      <c r="Y108" s="108"/>
      <c r="Z108" s="108"/>
      <c r="AA108" s="108"/>
      <c r="AB108" s="108"/>
      <c r="AC108" s="108"/>
      <c r="AD108" s="132">
        <f t="shared" si="5"/>
        <v>7535.311054625396</v>
      </c>
      <c r="AE108" s="12"/>
      <c r="AF108" s="12"/>
      <c r="AG108" s="12"/>
      <c r="AH108" s="12"/>
    </row>
    <row r="109" spans="2:34" ht="15.75">
      <c r="B109" s="147">
        <v>633</v>
      </c>
      <c r="C109" s="147">
        <v>1807</v>
      </c>
      <c r="D109" s="148" t="s">
        <v>64</v>
      </c>
      <c r="E109" s="147">
        <v>44.5</v>
      </c>
      <c r="F109" s="149">
        <v>16699</v>
      </c>
      <c r="G109" s="147">
        <v>1</v>
      </c>
      <c r="H109" s="150">
        <v>0</v>
      </c>
      <c r="I109" s="151">
        <v>0</v>
      </c>
      <c r="J109" s="130">
        <v>0</v>
      </c>
      <c r="K109" s="130">
        <f>'Per-Ft'!$L$9</f>
        <v>508.34595000000263</v>
      </c>
      <c r="L109" s="131"/>
      <c r="M109" s="341">
        <f>'Per-Ft'!$J$11+('Rent-List'!F109-16000)*'Per-Ft'!$H$12</f>
        <v>7282.905903501115</v>
      </c>
      <c r="N109" s="326">
        <f t="shared" si="4"/>
        <v>6774.559953501112</v>
      </c>
      <c r="P109" s="292"/>
      <c r="Q109" s="105"/>
      <c r="R109" s="107"/>
      <c r="S109" s="285"/>
      <c r="T109" s="593"/>
      <c r="U109" s="607"/>
      <c r="V109" s="463"/>
      <c r="W109" s="316"/>
      <c r="X109" s="316"/>
      <c r="Y109" s="108"/>
      <c r="Z109" s="108"/>
      <c r="AA109" s="108"/>
      <c r="AB109" s="108"/>
      <c r="AC109" s="108"/>
      <c r="AD109" s="132">
        <f t="shared" si="5"/>
        <v>6774.559953501112</v>
      </c>
      <c r="AE109" s="12"/>
      <c r="AF109" s="12"/>
      <c r="AG109" s="12"/>
      <c r="AH109" s="12"/>
    </row>
    <row r="110" spans="2:34" ht="15.75">
      <c r="B110" s="147">
        <v>589</v>
      </c>
      <c r="C110" s="147">
        <v>2204</v>
      </c>
      <c r="D110" s="148" t="s">
        <v>398</v>
      </c>
      <c r="E110" s="147">
        <v>28</v>
      </c>
      <c r="F110" s="149">
        <v>16955</v>
      </c>
      <c r="G110" s="147">
        <v>1</v>
      </c>
      <c r="H110" s="150">
        <v>0</v>
      </c>
      <c r="I110" s="151">
        <v>0</v>
      </c>
      <c r="J110" s="151">
        <v>0</v>
      </c>
      <c r="K110" s="151">
        <v>0</v>
      </c>
      <c r="L110" s="131"/>
      <c r="M110" s="341">
        <f>'Per-Ft'!$J$11+('Rent-List'!F110-16000)*'Per-Ft'!$H$12</f>
        <v>7301.762691508795</v>
      </c>
      <c r="N110" s="326">
        <f t="shared" si="4"/>
        <v>7301.762691508795</v>
      </c>
      <c r="P110" s="292"/>
      <c r="Q110" s="105"/>
      <c r="R110" s="107"/>
      <c r="S110" s="285"/>
      <c r="T110" s="593"/>
      <c r="U110" s="607"/>
      <c r="V110" s="463"/>
      <c r="W110" s="316"/>
      <c r="X110" s="316"/>
      <c r="Y110" s="108"/>
      <c r="Z110" s="108"/>
      <c r="AA110" s="108"/>
      <c r="AB110" s="108"/>
      <c r="AC110" s="108"/>
      <c r="AD110" s="132">
        <f t="shared" si="5"/>
        <v>7301.762691508795</v>
      </c>
      <c r="AE110" s="12"/>
      <c r="AF110" s="12"/>
      <c r="AG110" s="12"/>
      <c r="AH110" s="12"/>
    </row>
    <row r="111" spans="1:34" ht="15.75">
      <c r="A111" s="135" t="s">
        <v>182</v>
      </c>
      <c r="B111" s="136">
        <v>546</v>
      </c>
      <c r="C111" s="136">
        <v>1800</v>
      </c>
      <c r="D111" s="137" t="s">
        <v>64</v>
      </c>
      <c r="E111" s="136">
        <v>140</v>
      </c>
      <c r="F111" s="138">
        <v>16975</v>
      </c>
      <c r="G111" s="136">
        <v>2</v>
      </c>
      <c r="H111" s="139">
        <v>0</v>
      </c>
      <c r="I111" s="152">
        <f>'Per-Ft'!$L$16</f>
        <v>254.17297500000132</v>
      </c>
      <c r="J111" s="152">
        <f>'Per-Ft'!$L$13</f>
        <v>254.1729750000004</v>
      </c>
      <c r="K111" s="140">
        <v>0</v>
      </c>
      <c r="L111" s="141"/>
      <c r="M111" s="537">
        <f>'Per-Ft'!$J$11+('Rent-List'!F111-16000)*'Per-Ft'!$H$12</f>
        <v>7303.235878071895</v>
      </c>
      <c r="N111" s="326">
        <f t="shared" si="4"/>
        <v>7303.235878071896</v>
      </c>
      <c r="O111" s="142">
        <v>140</v>
      </c>
      <c r="P111" s="294">
        <v>2996</v>
      </c>
      <c r="Q111" s="143" t="s">
        <v>11</v>
      </c>
      <c r="R111" s="144">
        <v>300</v>
      </c>
      <c r="S111" s="154" t="s">
        <v>131</v>
      </c>
      <c r="T111" s="145">
        <v>500</v>
      </c>
      <c r="U111" s="155">
        <f>V111-Y111+Z111-AA111-AB111-AC111</f>
        <v>3612.771499999999</v>
      </c>
      <c r="V111" s="395">
        <f>T111*$V$4</f>
        <v>5833</v>
      </c>
      <c r="W111" s="317">
        <v>45959</v>
      </c>
      <c r="X111" s="317"/>
      <c r="Y111" s="146">
        <f>W111*$Y$4</f>
        <v>1378.77</v>
      </c>
      <c r="Z111" s="146">
        <f>W111*$Z$4</f>
        <v>781.3030000000001</v>
      </c>
      <c r="AA111" s="146">
        <f>W111*$AA$4</f>
        <v>735.344</v>
      </c>
      <c r="AB111" s="317">
        <f>W111*$AB$4</f>
        <v>137.877</v>
      </c>
      <c r="AC111" s="395">
        <f>V111*$AC$4</f>
        <v>749.5405000000001</v>
      </c>
      <c r="AD111" s="156">
        <f t="shared" si="5"/>
        <v>10916.007378071896</v>
      </c>
      <c r="AE111" s="12"/>
      <c r="AF111" s="12"/>
      <c r="AG111" s="12"/>
      <c r="AH111" s="12"/>
    </row>
    <row r="112" spans="2:34" ht="15.75">
      <c r="B112" s="147">
        <v>657</v>
      </c>
      <c r="C112" s="147">
        <v>2312</v>
      </c>
      <c r="D112" s="148" t="s">
        <v>134</v>
      </c>
      <c r="E112" s="147">
        <v>65</v>
      </c>
      <c r="F112" s="149">
        <v>17362</v>
      </c>
      <c r="G112" s="147">
        <v>1</v>
      </c>
      <c r="H112" s="150">
        <v>0</v>
      </c>
      <c r="I112" s="151">
        <v>0</v>
      </c>
      <c r="J112" s="151">
        <v>0</v>
      </c>
      <c r="K112" s="151">
        <v>0</v>
      </c>
      <c r="L112" s="131"/>
      <c r="M112" s="341">
        <f>'Per-Ft'!$J$12+('Rent-List'!F112-17000)*'Per-Ft'!$H$13</f>
        <v>7330.84033402177</v>
      </c>
      <c r="N112" s="326">
        <f t="shared" si="4"/>
        <v>7330.84033402177</v>
      </c>
      <c r="P112" s="292"/>
      <c r="Q112" s="105"/>
      <c r="R112" s="107"/>
      <c r="S112" s="285"/>
      <c r="T112" s="593"/>
      <c r="U112" s="607"/>
      <c r="V112" s="463"/>
      <c r="W112" s="316"/>
      <c r="X112" s="316"/>
      <c r="Y112" s="108"/>
      <c r="Z112" s="108"/>
      <c r="AA112" s="108"/>
      <c r="AB112" s="108"/>
      <c r="AC112" s="108"/>
      <c r="AD112" s="132">
        <f t="shared" si="5"/>
        <v>7330.84033402177</v>
      </c>
      <c r="AE112" s="12"/>
      <c r="AF112" s="12"/>
      <c r="AG112" s="12"/>
      <c r="AH112" s="12"/>
    </row>
    <row r="113" spans="1:34" ht="15.75">
      <c r="A113" s="12"/>
      <c r="B113" s="164">
        <v>520</v>
      </c>
      <c r="C113" s="164">
        <v>2104</v>
      </c>
      <c r="D113" s="175" t="s">
        <v>294</v>
      </c>
      <c r="E113" s="164">
        <v>93.5</v>
      </c>
      <c r="F113" s="163">
        <v>17400</v>
      </c>
      <c r="G113" s="164">
        <v>1</v>
      </c>
      <c r="H113" s="189">
        <v>0</v>
      </c>
      <c r="I113" s="176">
        <v>0</v>
      </c>
      <c r="J113" s="176">
        <v>0</v>
      </c>
      <c r="K113" s="176">
        <v>0</v>
      </c>
      <c r="L113" s="177"/>
      <c r="M113" s="341">
        <f>'Per-Ft'!$J$12+('Rent-List'!F113-17000)*'Per-Ft'!$H$13</f>
        <v>7333.54473447577</v>
      </c>
      <c r="N113" s="326">
        <f t="shared" si="4"/>
        <v>7333.54473447577</v>
      </c>
      <c r="O113" s="201"/>
      <c r="P113" s="296"/>
      <c r="Q113" s="202"/>
      <c r="R113" s="4"/>
      <c r="S113" s="117"/>
      <c r="T113" s="593"/>
      <c r="U113" s="607"/>
      <c r="V113" s="398"/>
      <c r="W113" s="319"/>
      <c r="X113" s="319"/>
      <c r="Y113" s="203"/>
      <c r="Z113" s="203"/>
      <c r="AA113" s="203"/>
      <c r="AB113" s="203"/>
      <c r="AC113" s="203"/>
      <c r="AD113" s="205">
        <f t="shared" si="5"/>
        <v>7333.54473447577</v>
      </c>
      <c r="AE113" s="12"/>
      <c r="AF113" s="12"/>
      <c r="AG113" s="12"/>
      <c r="AH113" s="12"/>
    </row>
    <row r="114" spans="2:34" ht="15.75">
      <c r="B114" s="147">
        <v>665</v>
      </c>
      <c r="C114" s="147">
        <v>1704</v>
      </c>
      <c r="D114" s="148" t="s">
        <v>342</v>
      </c>
      <c r="E114" s="147">
        <v>73</v>
      </c>
      <c r="F114" s="149">
        <v>17500</v>
      </c>
      <c r="G114" s="147">
        <v>1</v>
      </c>
      <c r="H114" s="150">
        <v>0</v>
      </c>
      <c r="I114" s="151">
        <v>0</v>
      </c>
      <c r="J114" s="151">
        <v>0</v>
      </c>
      <c r="K114" s="151">
        <v>0</v>
      </c>
      <c r="L114" s="131"/>
      <c r="M114" s="341">
        <f>'Per-Ft'!$J$12+('Rent-List'!F114-17000)*'Per-Ft'!$H$13</f>
        <v>7340.661577775771</v>
      </c>
      <c r="N114" s="326">
        <f t="shared" si="4"/>
        <v>7340.661577775771</v>
      </c>
      <c r="P114" s="292"/>
      <c r="Q114" s="105"/>
      <c r="R114" s="107"/>
      <c r="S114" s="285"/>
      <c r="T114" s="593"/>
      <c r="U114" s="607"/>
      <c r="V114" s="463"/>
      <c r="W114" s="316"/>
      <c r="X114" s="316"/>
      <c r="Y114" s="108"/>
      <c r="Z114" s="108"/>
      <c r="AA114" s="108"/>
      <c r="AB114" s="108"/>
      <c r="AC114" s="108"/>
      <c r="AD114" s="132">
        <f t="shared" si="5"/>
        <v>7340.661577775771</v>
      </c>
      <c r="AE114" s="12"/>
      <c r="AF114" s="12"/>
      <c r="AG114" s="12"/>
      <c r="AH114" s="12"/>
    </row>
    <row r="115" spans="2:34" ht="15.75">
      <c r="B115" s="147">
        <v>676</v>
      </c>
      <c r="C115" s="147">
        <v>1807</v>
      </c>
      <c r="D115" s="148" t="s">
        <v>342</v>
      </c>
      <c r="E115" s="147">
        <v>77</v>
      </c>
      <c r="F115" s="149">
        <v>17500</v>
      </c>
      <c r="G115" s="147">
        <v>2</v>
      </c>
      <c r="H115" s="150">
        <f>'Per-Ft'!$L$19</f>
        <v>508.3459499999999</v>
      </c>
      <c r="I115" s="130">
        <f>'Per-Ft'!$L$16</f>
        <v>254.17297500000132</v>
      </c>
      <c r="J115" s="151">
        <v>0</v>
      </c>
      <c r="K115" s="151">
        <v>0</v>
      </c>
      <c r="L115" s="131"/>
      <c r="M115" s="341">
        <f>'Per-Ft'!$J$12+('Rent-List'!F115-17000)*'Per-Ft'!$H$13</f>
        <v>7340.661577775771</v>
      </c>
      <c r="N115" s="326">
        <f t="shared" si="4"/>
        <v>8103.180502775772</v>
      </c>
      <c r="P115" s="292"/>
      <c r="Q115" s="105"/>
      <c r="R115" s="107"/>
      <c r="S115" s="285"/>
      <c r="T115" s="593"/>
      <c r="U115" s="607"/>
      <c r="V115" s="463"/>
      <c r="W115" s="316"/>
      <c r="X115" s="316"/>
      <c r="Y115" s="108"/>
      <c r="Z115" s="108"/>
      <c r="AA115" s="108"/>
      <c r="AB115" s="108"/>
      <c r="AC115" s="108"/>
      <c r="AD115" s="132">
        <f t="shared" si="5"/>
        <v>8103.180502775772</v>
      </c>
      <c r="AE115" s="12"/>
      <c r="AF115" s="12"/>
      <c r="AG115" s="12"/>
      <c r="AH115" s="12"/>
    </row>
    <row r="116" spans="2:34" ht="15.75">
      <c r="B116" s="147">
        <v>599</v>
      </c>
      <c r="C116" s="147">
        <v>2110</v>
      </c>
      <c r="D116" s="148" t="s">
        <v>293</v>
      </c>
      <c r="E116" s="147">
        <v>2</v>
      </c>
      <c r="F116" s="187">
        <v>17698.34</v>
      </c>
      <c r="G116" s="147">
        <v>1</v>
      </c>
      <c r="H116" s="150">
        <v>0</v>
      </c>
      <c r="I116" s="151">
        <v>0</v>
      </c>
      <c r="J116" s="130">
        <f>'Per-Ft'!$L$13</f>
        <v>254.1729750000004</v>
      </c>
      <c r="K116" s="151">
        <v>0</v>
      </c>
      <c r="L116" s="131"/>
      <c r="M116" s="341">
        <f>'Per-Ft'!$J$12+('Rent-List'!F116-17000)*'Per-Ft'!$H$13</f>
        <v>7354.777124776991</v>
      </c>
      <c r="N116" s="326">
        <f t="shared" si="4"/>
        <v>7100.60414977699</v>
      </c>
      <c r="P116" s="292"/>
      <c r="Q116" s="105"/>
      <c r="R116" s="107"/>
      <c r="S116" s="285"/>
      <c r="T116" s="593"/>
      <c r="U116" s="607"/>
      <c r="V116" s="463"/>
      <c r="W116" s="316"/>
      <c r="X116" s="316"/>
      <c r="Y116" s="108"/>
      <c r="Z116" s="108"/>
      <c r="AA116" s="108"/>
      <c r="AB116" s="108"/>
      <c r="AC116" s="108"/>
      <c r="AD116" s="132">
        <f t="shared" si="5"/>
        <v>7100.60414977699</v>
      </c>
      <c r="AE116" s="12"/>
      <c r="AF116" s="12"/>
      <c r="AG116" s="12"/>
      <c r="AH116" s="12"/>
    </row>
    <row r="117" spans="2:34" ht="15.75">
      <c r="B117" s="147">
        <v>594</v>
      </c>
      <c r="C117" s="147">
        <v>2105</v>
      </c>
      <c r="D117" s="148" t="s">
        <v>64</v>
      </c>
      <c r="E117" s="147">
        <v>6.25</v>
      </c>
      <c r="F117" s="149">
        <v>17908</v>
      </c>
      <c r="G117" s="147">
        <v>1</v>
      </c>
      <c r="H117" s="150">
        <v>0</v>
      </c>
      <c r="I117" s="151">
        <v>0</v>
      </c>
      <c r="J117" s="130">
        <v>0</v>
      </c>
      <c r="K117" s="130">
        <f>'Per-Ft'!$L$9</f>
        <v>508.34595000000263</v>
      </c>
      <c r="L117" s="131"/>
      <c r="M117" s="341">
        <f>'Per-Ft'!$J$12+('Rent-List'!F117-17000)*'Per-Ft'!$H$13</f>
        <v>7369.69829843977</v>
      </c>
      <c r="N117" s="326">
        <f t="shared" si="4"/>
        <v>6861.352348439767</v>
      </c>
      <c r="P117" s="292"/>
      <c r="Q117" s="105"/>
      <c r="R117" s="107"/>
      <c r="S117" s="285"/>
      <c r="T117" s="593"/>
      <c r="U117" s="607"/>
      <c r="V117" s="463"/>
      <c r="W117" s="316"/>
      <c r="X117" s="316"/>
      <c r="Y117" s="108"/>
      <c r="Z117" s="108"/>
      <c r="AA117" s="108"/>
      <c r="AB117" s="108"/>
      <c r="AC117" s="108"/>
      <c r="AD117" s="132">
        <f t="shared" si="5"/>
        <v>6861.352348439767</v>
      </c>
      <c r="AE117" s="12"/>
      <c r="AF117" s="12"/>
      <c r="AG117" s="12"/>
      <c r="AH117" s="12"/>
    </row>
    <row r="118" spans="2:34" ht="15.75">
      <c r="B118" s="147">
        <v>696</v>
      </c>
      <c r="C118" s="147">
        <v>2101</v>
      </c>
      <c r="D118" s="148" t="s">
        <v>293</v>
      </c>
      <c r="E118" s="147" t="s">
        <v>114</v>
      </c>
      <c r="F118" s="149">
        <v>18109</v>
      </c>
      <c r="G118" s="147">
        <v>1</v>
      </c>
      <c r="H118" s="150">
        <v>0</v>
      </c>
      <c r="I118" s="151">
        <v>0</v>
      </c>
      <c r="J118" s="151">
        <v>0</v>
      </c>
      <c r="K118" s="151">
        <v>0</v>
      </c>
      <c r="L118" s="131"/>
      <c r="M118" s="341">
        <f>'Per-Ft'!$J$13+('Rent-List'!F118-18000)*'Per-Ft'!$H$14</f>
        <v>7383.731645900875</v>
      </c>
      <c r="N118" s="326">
        <f t="shared" si="4"/>
        <v>7383.731645900875</v>
      </c>
      <c r="P118" s="292"/>
      <c r="Q118" s="105"/>
      <c r="R118" s="107"/>
      <c r="S118" s="285"/>
      <c r="T118" s="593"/>
      <c r="U118" s="607"/>
      <c r="V118" s="463"/>
      <c r="W118" s="316"/>
      <c r="X118" s="316"/>
      <c r="Y118" s="108"/>
      <c r="Z118" s="108"/>
      <c r="AA118" s="108"/>
      <c r="AB118" s="108"/>
      <c r="AC118" s="108"/>
      <c r="AD118" s="132">
        <f t="shared" si="5"/>
        <v>7383.731645900875</v>
      </c>
      <c r="AE118" s="12"/>
      <c r="AF118" s="12"/>
      <c r="AG118" s="12"/>
      <c r="AH118" s="12"/>
    </row>
    <row r="119" spans="2:34" ht="15.75">
      <c r="B119" s="147">
        <v>593</v>
      </c>
      <c r="C119" s="147">
        <v>2102</v>
      </c>
      <c r="D119" s="148" t="s">
        <v>293</v>
      </c>
      <c r="E119" s="147">
        <v>6.5</v>
      </c>
      <c r="F119" s="163">
        <v>18223.6</v>
      </c>
      <c r="G119" s="147">
        <v>1</v>
      </c>
      <c r="H119" s="150">
        <v>0</v>
      </c>
      <c r="I119" s="151">
        <v>0</v>
      </c>
      <c r="J119" s="151">
        <v>0</v>
      </c>
      <c r="K119" s="151">
        <v>0</v>
      </c>
      <c r="L119" s="131"/>
      <c r="M119" s="341">
        <f>'Per-Ft'!$J$13+('Rent-List'!F119-18000)*'Per-Ft'!$H$14</f>
        <v>7391.602091737912</v>
      </c>
      <c r="N119" s="326">
        <f t="shared" si="4"/>
        <v>7391.602091737912</v>
      </c>
      <c r="P119" s="292"/>
      <c r="Q119" s="105"/>
      <c r="R119" s="107"/>
      <c r="S119" s="285"/>
      <c r="T119" s="593"/>
      <c r="U119" s="607"/>
      <c r="V119" s="463"/>
      <c r="W119" s="316"/>
      <c r="X119" s="316"/>
      <c r="Y119" s="108"/>
      <c r="Z119" s="108"/>
      <c r="AA119" s="108"/>
      <c r="AB119" s="108"/>
      <c r="AC119" s="108"/>
      <c r="AD119" s="132">
        <f t="shared" si="5"/>
        <v>7391.602091737912</v>
      </c>
      <c r="AE119" s="12"/>
      <c r="AF119" s="12"/>
      <c r="AG119" s="12"/>
      <c r="AH119" s="12"/>
    </row>
    <row r="120" spans="2:34" ht="15.75">
      <c r="B120" s="147">
        <v>512</v>
      </c>
      <c r="C120" s="147">
        <v>2100</v>
      </c>
      <c r="D120" s="148" t="s">
        <v>64</v>
      </c>
      <c r="E120" s="147">
        <v>98</v>
      </c>
      <c r="F120" s="149">
        <v>18452</v>
      </c>
      <c r="G120" s="147">
        <v>1</v>
      </c>
      <c r="H120" s="150">
        <v>0</v>
      </c>
      <c r="I120" s="151">
        <v>0</v>
      </c>
      <c r="J120" s="130">
        <f>'Per-Ft'!$L$13</f>
        <v>254.1729750000004</v>
      </c>
      <c r="K120" s="151">
        <v>0</v>
      </c>
      <c r="L120" s="131"/>
      <c r="M120" s="341">
        <f>'Per-Ft'!$J$13+('Rent-List'!F120-18000)*'Per-Ft'!$H$14</f>
        <v>7407.28804138171</v>
      </c>
      <c r="N120" s="326">
        <f t="shared" si="4"/>
        <v>7153.11506638171</v>
      </c>
      <c r="P120" s="292"/>
      <c r="Q120" s="105"/>
      <c r="R120" s="107"/>
      <c r="S120" s="285"/>
      <c r="T120" s="593"/>
      <c r="U120" s="607"/>
      <c r="V120" s="463"/>
      <c r="W120" s="316"/>
      <c r="X120" s="316"/>
      <c r="Y120" s="108"/>
      <c r="Z120" s="108"/>
      <c r="AA120" s="108"/>
      <c r="AB120" s="108"/>
      <c r="AC120" s="108"/>
      <c r="AD120" s="132">
        <f t="shared" si="5"/>
        <v>7153.11506638171</v>
      </c>
      <c r="AE120" s="12"/>
      <c r="AF120" s="12"/>
      <c r="AG120" s="12"/>
      <c r="AH120" s="12"/>
    </row>
    <row r="121" spans="2:34" ht="15.75">
      <c r="B121" s="147">
        <v>604</v>
      </c>
      <c r="C121" s="147">
        <v>2225</v>
      </c>
      <c r="D121" s="148" t="s">
        <v>55</v>
      </c>
      <c r="E121" s="147">
        <v>11</v>
      </c>
      <c r="F121" s="149">
        <v>18480</v>
      </c>
      <c r="G121" s="147">
        <v>1</v>
      </c>
      <c r="H121" s="150">
        <v>0</v>
      </c>
      <c r="I121" s="151">
        <v>0</v>
      </c>
      <c r="J121" s="130">
        <f>'Per-Ft'!$L$13</f>
        <v>254.1729750000004</v>
      </c>
      <c r="K121" s="151">
        <v>0</v>
      </c>
      <c r="L121" s="131"/>
      <c r="M121" s="341">
        <f>'Per-Ft'!$J$13+('Rent-List'!F121-18000)*'Per-Ft'!$H$14</f>
        <v>7409.21101244137</v>
      </c>
      <c r="N121" s="326">
        <f t="shared" si="4"/>
        <v>7155.03803744137</v>
      </c>
      <c r="P121" s="292"/>
      <c r="Q121" s="105"/>
      <c r="R121" s="107"/>
      <c r="S121" s="285"/>
      <c r="T121" s="593"/>
      <c r="U121" s="607"/>
      <c r="V121" s="463"/>
      <c r="W121" s="316"/>
      <c r="X121" s="316"/>
      <c r="Y121" s="108"/>
      <c r="Z121" s="108"/>
      <c r="AA121" s="108"/>
      <c r="AB121" s="108"/>
      <c r="AC121" s="108"/>
      <c r="AD121" s="132">
        <f t="shared" si="5"/>
        <v>7155.03803744137</v>
      </c>
      <c r="AE121" s="12"/>
      <c r="AF121" s="12"/>
      <c r="AG121" s="12"/>
      <c r="AH121" s="12"/>
    </row>
    <row r="122" spans="2:34" ht="15.75">
      <c r="B122" s="147">
        <v>529</v>
      </c>
      <c r="C122" s="147">
        <v>1906</v>
      </c>
      <c r="D122" s="148" t="s">
        <v>294</v>
      </c>
      <c r="E122" s="147">
        <v>111</v>
      </c>
      <c r="F122" s="163">
        <v>18687</v>
      </c>
      <c r="G122" s="147">
        <v>1</v>
      </c>
      <c r="H122" s="150">
        <f>'Per-Ft'!$L$19</f>
        <v>508.3459499999999</v>
      </c>
      <c r="I122" s="130">
        <f>'Per-Ft'!$L$16</f>
        <v>254.17297500000132</v>
      </c>
      <c r="J122" s="151">
        <v>0</v>
      </c>
      <c r="K122" s="151">
        <v>0</v>
      </c>
      <c r="L122" s="131">
        <f>'Per-Ft'!$L$5</f>
        <v>254.1729750000004</v>
      </c>
      <c r="M122" s="341">
        <f>'Per-Ft'!$J$13+('Rent-List'!F122-18000)*'Per-Ft'!$H$14</f>
        <v>7423.427262775285</v>
      </c>
      <c r="N122" s="326">
        <f t="shared" si="4"/>
        <v>7931.773212775286</v>
      </c>
      <c r="P122" s="292"/>
      <c r="Q122" s="105"/>
      <c r="R122" s="107"/>
      <c r="S122" s="285"/>
      <c r="T122" s="593"/>
      <c r="U122" s="607"/>
      <c r="V122" s="463"/>
      <c r="W122" s="316"/>
      <c r="X122" s="316"/>
      <c r="Y122" s="108"/>
      <c r="Z122" s="108"/>
      <c r="AA122" s="108"/>
      <c r="AB122" s="108"/>
      <c r="AC122" s="108"/>
      <c r="AD122" s="132">
        <f t="shared" si="5"/>
        <v>7931.773212775286</v>
      </c>
      <c r="AE122" s="12"/>
      <c r="AF122" s="12"/>
      <c r="AG122" s="12"/>
      <c r="AH122" s="12"/>
    </row>
    <row r="123" spans="1:34" ht="15.75">
      <c r="A123" s="135" t="s">
        <v>250</v>
      </c>
      <c r="B123" s="136">
        <v>535</v>
      </c>
      <c r="C123" s="136">
        <v>2116</v>
      </c>
      <c r="D123" s="137" t="s">
        <v>295</v>
      </c>
      <c r="E123" s="136">
        <v>115</v>
      </c>
      <c r="F123" s="138">
        <v>18918</v>
      </c>
      <c r="G123" s="136">
        <v>2</v>
      </c>
      <c r="H123" s="139">
        <f>'Per-Ft'!$L$19</f>
        <v>508.3459499999999</v>
      </c>
      <c r="I123" s="152">
        <f>'Per-Ft'!$L$16</f>
        <v>254.17297500000132</v>
      </c>
      <c r="J123" s="140">
        <v>0</v>
      </c>
      <c r="K123" s="140">
        <v>0</v>
      </c>
      <c r="L123" s="141"/>
      <c r="M123" s="537">
        <f>'Per-Ft'!$J$13+('Rent-List'!F123-18000)*'Per-Ft'!$H$14</f>
        <v>7439.29177401748</v>
      </c>
      <c r="N123" s="326">
        <f t="shared" si="4"/>
        <v>8201.810699017482</v>
      </c>
      <c r="O123" s="142">
        <v>115</v>
      </c>
      <c r="P123" s="294">
        <v>6647</v>
      </c>
      <c r="Q123" s="143" t="s">
        <v>156</v>
      </c>
      <c r="R123" s="144">
        <v>750</v>
      </c>
      <c r="S123" s="154" t="s">
        <v>71</v>
      </c>
      <c r="T123" s="145">
        <v>775</v>
      </c>
      <c r="U123" s="155">
        <f>V123-Y123+Z123-AA123-AB123-AC123</f>
        <v>4420.162224999999</v>
      </c>
      <c r="V123" s="395">
        <f>T123*$V$4</f>
        <v>9041.15</v>
      </c>
      <c r="W123" s="317">
        <v>108100</v>
      </c>
      <c r="X123" s="317"/>
      <c r="Y123" s="146">
        <f>W123*$Y$4</f>
        <v>3243</v>
      </c>
      <c r="Z123" s="146">
        <f>W123*$Z$4</f>
        <v>1837.7</v>
      </c>
      <c r="AA123" s="146">
        <f>W123*$AA$4</f>
        <v>1729.6000000000001</v>
      </c>
      <c r="AB123" s="317">
        <f>W123*$AB$4</f>
        <v>324.3</v>
      </c>
      <c r="AC123" s="395">
        <f>V123*$AC$4</f>
        <v>1161.787775</v>
      </c>
      <c r="AD123" s="156">
        <f t="shared" si="5"/>
        <v>12621.972924017482</v>
      </c>
      <c r="AE123" s="12"/>
      <c r="AF123" s="12"/>
      <c r="AG123" s="12"/>
      <c r="AH123" s="12"/>
    </row>
    <row r="124" spans="2:34" ht="15.75">
      <c r="B124" s="147">
        <v>571</v>
      </c>
      <c r="C124" s="147">
        <v>1905</v>
      </c>
      <c r="D124" s="148" t="s">
        <v>68</v>
      </c>
      <c r="E124" s="147" t="s">
        <v>72</v>
      </c>
      <c r="F124" s="149">
        <v>19010</v>
      </c>
      <c r="G124" s="147">
        <v>1</v>
      </c>
      <c r="H124" s="150">
        <v>0</v>
      </c>
      <c r="I124" s="151">
        <v>0</v>
      </c>
      <c r="J124" s="151">
        <v>0</v>
      </c>
      <c r="K124" s="151">
        <v>0</v>
      </c>
      <c r="L124" s="131"/>
      <c r="M124" s="341">
        <f>'Per-Ft'!$J$14+('Rent-List'!F124-19000)*'Per-Ft'!$H$15</f>
        <v>7445.584326734366</v>
      </c>
      <c r="N124" s="326">
        <f t="shared" si="4"/>
        <v>7445.584326734366</v>
      </c>
      <c r="P124" s="292"/>
      <c r="Q124" s="105"/>
      <c r="R124" s="107"/>
      <c r="S124" s="285"/>
      <c r="T124" s="593"/>
      <c r="U124" s="607"/>
      <c r="V124" s="463"/>
      <c r="W124" s="316"/>
      <c r="X124" s="316"/>
      <c r="Y124" s="108"/>
      <c r="Z124" s="108"/>
      <c r="AA124" s="108"/>
      <c r="AB124" s="108"/>
      <c r="AC124" s="108"/>
      <c r="AD124" s="132">
        <f t="shared" si="5"/>
        <v>7445.584326734366</v>
      </c>
      <c r="AE124" s="12"/>
      <c r="AF124" s="12"/>
      <c r="AG124" s="12"/>
      <c r="AH124" s="12"/>
    </row>
    <row r="125" spans="2:34" ht="15.75">
      <c r="B125" s="147">
        <v>573</v>
      </c>
      <c r="C125" s="147">
        <v>1900</v>
      </c>
      <c r="D125" s="148" t="s">
        <v>64</v>
      </c>
      <c r="E125" s="147">
        <v>131</v>
      </c>
      <c r="F125" s="149">
        <v>19071</v>
      </c>
      <c r="G125" s="147">
        <v>1</v>
      </c>
      <c r="H125" s="150">
        <v>0</v>
      </c>
      <c r="I125" s="151">
        <v>0</v>
      </c>
      <c r="J125" s="130">
        <f>'Per-Ft'!$L$13</f>
        <v>254.1729750000004</v>
      </c>
      <c r="K125" s="151">
        <v>0</v>
      </c>
      <c r="L125" s="131"/>
      <c r="M125" s="341">
        <f>'Per-Ft'!$J$14+('Rent-List'!F125-19000)*'Per-Ft'!$H$15</f>
        <v>7449.6163938773</v>
      </c>
      <c r="N125" s="326">
        <f t="shared" si="4"/>
        <v>7195.443418877299</v>
      </c>
      <c r="P125" s="292"/>
      <c r="Q125" s="105"/>
      <c r="R125" s="107"/>
      <c r="S125" s="285"/>
      <c r="T125" s="593"/>
      <c r="U125" s="607"/>
      <c r="V125" s="463"/>
      <c r="W125" s="316"/>
      <c r="X125" s="316"/>
      <c r="Y125" s="108"/>
      <c r="Z125" s="108"/>
      <c r="AA125" s="108"/>
      <c r="AB125" s="108"/>
      <c r="AC125" s="108"/>
      <c r="AD125" s="132">
        <f t="shared" si="5"/>
        <v>7195.443418877299</v>
      </c>
      <c r="AE125" s="12"/>
      <c r="AF125" s="12"/>
      <c r="AG125" s="12"/>
      <c r="AH125" s="12"/>
    </row>
    <row r="126" spans="2:34" ht="15.75">
      <c r="B126" s="147">
        <v>531</v>
      </c>
      <c r="C126" s="147">
        <v>1900</v>
      </c>
      <c r="D126" s="148" t="s">
        <v>294</v>
      </c>
      <c r="E126" s="147">
        <v>113</v>
      </c>
      <c r="F126" s="149">
        <v>19395</v>
      </c>
      <c r="G126" s="147">
        <v>1</v>
      </c>
      <c r="H126" s="150">
        <v>0</v>
      </c>
      <c r="I126" s="130">
        <f>'Per-Ft'!$L$16</f>
        <v>254.17297500000132</v>
      </c>
      <c r="J126" s="151">
        <v>0</v>
      </c>
      <c r="K126" s="151">
        <v>0</v>
      </c>
      <c r="L126" s="131"/>
      <c r="M126" s="341">
        <f>'Per-Ft'!$J$14+('Rent-List'!F126-19000)*'Per-Ft'!$H$15</f>
        <v>7471.032619357802</v>
      </c>
      <c r="N126" s="326">
        <f t="shared" si="4"/>
        <v>7725.205594357803</v>
      </c>
      <c r="P126" s="292"/>
      <c r="Q126" s="105"/>
      <c r="R126" s="107"/>
      <c r="S126" s="285"/>
      <c r="T126" s="593"/>
      <c r="U126" s="607"/>
      <c r="V126" s="463"/>
      <c r="W126" s="316"/>
      <c r="X126" s="316"/>
      <c r="Y126" s="108"/>
      <c r="Z126" s="108"/>
      <c r="AA126" s="108"/>
      <c r="AB126" s="108"/>
      <c r="AC126" s="108"/>
      <c r="AD126" s="132">
        <f t="shared" si="5"/>
        <v>7725.205594357803</v>
      </c>
      <c r="AE126" s="12"/>
      <c r="AF126" s="12"/>
      <c r="AG126" s="12"/>
      <c r="AH126" s="12"/>
    </row>
    <row r="127" spans="2:34" ht="15.75">
      <c r="B127" s="147">
        <v>675</v>
      </c>
      <c r="C127" s="147">
        <v>1803</v>
      </c>
      <c r="D127" s="148" t="s">
        <v>342</v>
      </c>
      <c r="E127" s="147">
        <v>76.5</v>
      </c>
      <c r="F127" s="163">
        <v>19455</v>
      </c>
      <c r="G127" s="147">
        <v>1</v>
      </c>
      <c r="H127" s="150">
        <f>'Per-Ft'!$L$19</f>
        <v>508.3459499999999</v>
      </c>
      <c r="I127" s="130">
        <f>'Per-Ft'!$L$16</f>
        <v>254.17297500000132</v>
      </c>
      <c r="J127" s="151">
        <v>0</v>
      </c>
      <c r="K127" s="151">
        <v>0</v>
      </c>
      <c r="L127" s="131"/>
      <c r="M127" s="341">
        <f>'Per-Ft'!$J$14+('Rent-List'!F127-19000)*'Per-Ft'!$H$15</f>
        <v>7474.998587039377</v>
      </c>
      <c r="N127" s="326">
        <f t="shared" si="4"/>
        <v>8237.517512039378</v>
      </c>
      <c r="P127" s="292"/>
      <c r="Q127" s="105"/>
      <c r="R127" s="107"/>
      <c r="S127" s="285"/>
      <c r="T127" s="593"/>
      <c r="U127" s="607"/>
      <c r="V127" s="463"/>
      <c r="W127" s="316"/>
      <c r="X127" s="316"/>
      <c r="Y127" s="108"/>
      <c r="Z127" s="108"/>
      <c r="AA127" s="108"/>
      <c r="AB127" s="108"/>
      <c r="AC127" s="108"/>
      <c r="AD127" s="132">
        <f t="shared" si="5"/>
        <v>8237.517512039378</v>
      </c>
      <c r="AE127" s="12"/>
      <c r="AF127" s="12"/>
      <c r="AG127" s="12"/>
      <c r="AH127" s="12"/>
    </row>
    <row r="128" spans="2:34" ht="15.75">
      <c r="B128" s="147">
        <v>671</v>
      </c>
      <c r="C128" s="147">
        <v>1701</v>
      </c>
      <c r="D128" s="148" t="s">
        <v>342</v>
      </c>
      <c r="E128" s="147">
        <v>72</v>
      </c>
      <c r="F128" s="149">
        <v>19650</v>
      </c>
      <c r="G128" s="147">
        <v>1</v>
      </c>
      <c r="H128" s="150">
        <f>'Per-Ft'!$L$19</f>
        <v>508.3459499999999</v>
      </c>
      <c r="I128" s="151">
        <v>0</v>
      </c>
      <c r="J128" s="151">
        <v>0</v>
      </c>
      <c r="K128" s="151">
        <v>0</v>
      </c>
      <c r="L128" s="131"/>
      <c r="M128" s="341">
        <f>'Per-Ft'!$J$14+('Rent-List'!F128-19000)*'Per-Ft'!$H$15</f>
        <v>7487.887982004494</v>
      </c>
      <c r="N128" s="326">
        <f t="shared" si="4"/>
        <v>7996.233932004494</v>
      </c>
      <c r="P128" s="292"/>
      <c r="Q128" s="105"/>
      <c r="R128" s="107"/>
      <c r="S128" s="285"/>
      <c r="T128" s="593"/>
      <c r="U128" s="607"/>
      <c r="V128" s="463"/>
      <c r="W128" s="316"/>
      <c r="X128" s="316"/>
      <c r="Y128" s="108"/>
      <c r="Z128" s="108"/>
      <c r="AA128" s="108"/>
      <c r="AB128" s="108"/>
      <c r="AC128" s="108"/>
      <c r="AD128" s="132">
        <f t="shared" si="5"/>
        <v>7996.233932004494</v>
      </c>
      <c r="AE128" s="12"/>
      <c r="AF128" s="12"/>
      <c r="AG128" s="12"/>
      <c r="AH128" s="12"/>
    </row>
    <row r="129" spans="2:34" ht="15.75">
      <c r="B129" s="147">
        <v>544</v>
      </c>
      <c r="C129" s="147">
        <v>2121</v>
      </c>
      <c r="D129" s="148" t="s">
        <v>343</v>
      </c>
      <c r="E129" s="147">
        <v>138.5</v>
      </c>
      <c r="F129" s="149">
        <v>19726</v>
      </c>
      <c r="G129" s="147">
        <v>1</v>
      </c>
      <c r="H129" s="150">
        <v>0</v>
      </c>
      <c r="I129" s="151">
        <v>0</v>
      </c>
      <c r="J129" s="151">
        <v>0</v>
      </c>
      <c r="K129" s="151">
        <v>0</v>
      </c>
      <c r="L129" s="131"/>
      <c r="M129" s="341">
        <f>'Per-Ft'!$J$14+('Rent-List'!F129-19000)*'Per-Ft'!$H$15</f>
        <v>7492.911541067821</v>
      </c>
      <c r="N129" s="326">
        <f t="shared" si="4"/>
        <v>7492.911541067821</v>
      </c>
      <c r="P129" s="292"/>
      <c r="Q129" s="105"/>
      <c r="R129" s="107"/>
      <c r="S129" s="285"/>
      <c r="T129" s="593"/>
      <c r="U129" s="607"/>
      <c r="V129" s="463"/>
      <c r="W129" s="316"/>
      <c r="X129" s="316"/>
      <c r="Y129" s="108"/>
      <c r="Z129" s="108"/>
      <c r="AA129" s="108"/>
      <c r="AB129" s="108"/>
      <c r="AC129" s="108"/>
      <c r="AD129" s="132">
        <f t="shared" si="5"/>
        <v>7492.911541067821</v>
      </c>
      <c r="AE129" s="12"/>
      <c r="AF129" s="12"/>
      <c r="AG129" s="12"/>
      <c r="AH129" s="12"/>
    </row>
    <row r="130" spans="2:34" ht="15.75">
      <c r="B130" s="147">
        <v>564</v>
      </c>
      <c r="C130" s="147">
        <v>2005</v>
      </c>
      <c r="D130" s="148" t="s">
        <v>294</v>
      </c>
      <c r="E130" s="147">
        <v>101</v>
      </c>
      <c r="F130" s="149">
        <v>19823</v>
      </c>
      <c r="G130" s="147">
        <v>1</v>
      </c>
      <c r="H130" s="150">
        <v>0</v>
      </c>
      <c r="I130" s="151">
        <v>0</v>
      </c>
      <c r="J130" s="151">
        <v>0</v>
      </c>
      <c r="K130" s="151">
        <v>0</v>
      </c>
      <c r="L130" s="131"/>
      <c r="M130" s="341">
        <f>'Per-Ft'!$J$14+('Rent-List'!F130-19000)*'Per-Ft'!$H$15</f>
        <v>7499.323188819701</v>
      </c>
      <c r="N130" s="326">
        <f t="shared" si="4"/>
        <v>7499.323188819701</v>
      </c>
      <c r="P130" s="292"/>
      <c r="Q130" s="105"/>
      <c r="R130" s="107"/>
      <c r="S130" s="285"/>
      <c r="T130" s="593"/>
      <c r="U130" s="607"/>
      <c r="V130" s="463"/>
      <c r="W130" s="316"/>
      <c r="X130" s="316"/>
      <c r="Y130" s="108"/>
      <c r="Z130" s="108"/>
      <c r="AA130" s="108"/>
      <c r="AB130" s="108"/>
      <c r="AC130" s="108"/>
      <c r="AD130" s="132">
        <f t="shared" si="5"/>
        <v>7499.323188819701</v>
      </c>
      <c r="AE130" s="12"/>
      <c r="AF130" s="12"/>
      <c r="AG130" s="12"/>
      <c r="AH130" s="12"/>
    </row>
    <row r="131" spans="2:34" ht="15.75">
      <c r="B131" s="147">
        <v>685</v>
      </c>
      <c r="C131" s="147">
        <v>1907</v>
      </c>
      <c r="D131" s="148" t="s">
        <v>164</v>
      </c>
      <c r="E131" s="147">
        <v>82</v>
      </c>
      <c r="F131" s="149">
        <v>20000</v>
      </c>
      <c r="G131" s="147">
        <v>1</v>
      </c>
      <c r="H131" s="150">
        <f>'Per-Ft'!$L$19</f>
        <v>508.3459499999999</v>
      </c>
      <c r="I131" s="151">
        <v>0</v>
      </c>
      <c r="J131" s="151">
        <v>0</v>
      </c>
      <c r="K131" s="151">
        <v>0</v>
      </c>
      <c r="L131" s="131"/>
      <c r="M131" s="341">
        <f>'Per-Ft'!$J$15+('Rent-List'!F131-20000)*'Per-Ft'!$H$16</f>
        <v>7511.022793480345</v>
      </c>
      <c r="N131" s="326">
        <f t="shared" si="4"/>
        <v>8019.368743480345</v>
      </c>
      <c r="P131" s="292"/>
      <c r="Q131" s="105"/>
      <c r="R131" s="107"/>
      <c r="S131" s="285"/>
      <c r="T131" s="593"/>
      <c r="U131" s="607"/>
      <c r="V131" s="463"/>
      <c r="W131" s="316"/>
      <c r="X131" s="316"/>
      <c r="Y131" s="108"/>
      <c r="Z131" s="108"/>
      <c r="AA131" s="108"/>
      <c r="AB131" s="108"/>
      <c r="AC131" s="108"/>
      <c r="AD131" s="132">
        <f t="shared" si="5"/>
        <v>8019.368743480345</v>
      </c>
      <c r="AE131" s="12"/>
      <c r="AF131" s="12"/>
      <c r="AG131" s="12"/>
      <c r="AH131" s="12"/>
    </row>
    <row r="132" spans="2:34" ht="15.75">
      <c r="B132" s="147">
        <v>558</v>
      </c>
      <c r="C132" s="147">
        <v>2116</v>
      </c>
      <c r="D132" s="148" t="s">
        <v>162</v>
      </c>
      <c r="E132" s="147">
        <v>122</v>
      </c>
      <c r="F132" s="149">
        <v>20000</v>
      </c>
      <c r="G132" s="147">
        <v>1</v>
      </c>
      <c r="H132" s="150">
        <v>0</v>
      </c>
      <c r="I132" s="130">
        <f>'Per-Ft'!$L$16</f>
        <v>254.17297500000132</v>
      </c>
      <c r="J132" s="151">
        <v>0</v>
      </c>
      <c r="K132" s="151">
        <v>0</v>
      </c>
      <c r="L132" s="131"/>
      <c r="M132" s="341">
        <f>'Per-Ft'!$J$15+('Rent-List'!F132-20000)*'Per-Ft'!$H$16</f>
        <v>7511.022793480345</v>
      </c>
      <c r="N132" s="326">
        <f t="shared" si="4"/>
        <v>7765.1957684803465</v>
      </c>
      <c r="P132" s="292"/>
      <c r="Q132" s="105"/>
      <c r="R132" s="107"/>
      <c r="S132" s="285"/>
      <c r="T132" s="593"/>
      <c r="U132" s="607"/>
      <c r="V132" s="463"/>
      <c r="W132" s="316"/>
      <c r="X132" s="316"/>
      <c r="Y132" s="108"/>
      <c r="Z132" s="108"/>
      <c r="AA132" s="108"/>
      <c r="AB132" s="108"/>
      <c r="AC132" s="108"/>
      <c r="AD132" s="132">
        <f t="shared" si="5"/>
        <v>7765.1957684803465</v>
      </c>
      <c r="AE132" s="12"/>
      <c r="AF132" s="12"/>
      <c r="AG132" s="12"/>
      <c r="AH132" s="12"/>
    </row>
    <row r="133" spans="2:34" ht="15.75">
      <c r="B133" s="147">
        <v>557</v>
      </c>
      <c r="C133" s="147">
        <v>2118</v>
      </c>
      <c r="D133" s="148" t="s">
        <v>162</v>
      </c>
      <c r="E133" s="147">
        <v>121</v>
      </c>
      <c r="F133" s="149">
        <v>20000</v>
      </c>
      <c r="G133" s="147">
        <v>1</v>
      </c>
      <c r="H133" s="150">
        <v>0</v>
      </c>
      <c r="I133" s="130">
        <f>'Per-Ft'!$L$16</f>
        <v>254.17297500000132</v>
      </c>
      <c r="J133" s="151">
        <v>0</v>
      </c>
      <c r="K133" s="151">
        <v>0</v>
      </c>
      <c r="L133" s="131"/>
      <c r="M133" s="341">
        <f>'Per-Ft'!$J$15+('Rent-List'!F133-20000)*'Per-Ft'!$H$16</f>
        <v>7511.022793480345</v>
      </c>
      <c r="N133" s="326">
        <f t="shared" si="4"/>
        <v>7765.1957684803465</v>
      </c>
      <c r="P133" s="292"/>
      <c r="Q133" s="105"/>
      <c r="R133" s="107"/>
      <c r="S133" s="285"/>
      <c r="T133" s="593"/>
      <c r="U133" s="607"/>
      <c r="V133" s="463"/>
      <c r="W133" s="316"/>
      <c r="X133" s="316"/>
      <c r="Y133" s="108"/>
      <c r="Z133" s="108"/>
      <c r="AA133" s="108"/>
      <c r="AB133" s="108"/>
      <c r="AC133" s="108"/>
      <c r="AD133" s="132">
        <f t="shared" si="5"/>
        <v>7765.1957684803465</v>
      </c>
      <c r="AE133" s="12"/>
      <c r="AF133" s="12"/>
      <c r="AG133" s="12"/>
      <c r="AH133" s="12"/>
    </row>
    <row r="134" spans="2:34" ht="15.75">
      <c r="B134" s="147">
        <v>611</v>
      </c>
      <c r="C134" s="147">
        <v>2215</v>
      </c>
      <c r="D134" s="148" t="s">
        <v>398</v>
      </c>
      <c r="E134" s="147">
        <v>18</v>
      </c>
      <c r="F134" s="149">
        <v>20000</v>
      </c>
      <c r="G134" s="147">
        <v>1</v>
      </c>
      <c r="H134" s="150">
        <v>0</v>
      </c>
      <c r="I134" s="151">
        <v>0</v>
      </c>
      <c r="J134" s="151">
        <v>0</v>
      </c>
      <c r="K134" s="151">
        <v>0</v>
      </c>
      <c r="L134" s="131"/>
      <c r="M134" s="341">
        <f>'Per-Ft'!$J$15+('Rent-List'!F134-20000)*'Per-Ft'!$H$16</f>
        <v>7511.022793480345</v>
      </c>
      <c r="N134" s="326">
        <f t="shared" si="4"/>
        <v>7511.022793480345</v>
      </c>
      <c r="P134" s="292"/>
      <c r="Q134" s="105"/>
      <c r="R134" s="107"/>
      <c r="S134" s="285"/>
      <c r="T134" s="593"/>
      <c r="U134" s="607"/>
      <c r="V134" s="463"/>
      <c r="W134" s="316"/>
      <c r="X134" s="316"/>
      <c r="Y134" s="108"/>
      <c r="Z134" s="108"/>
      <c r="AA134" s="108"/>
      <c r="AB134" s="108"/>
      <c r="AC134" s="108"/>
      <c r="AD134" s="132">
        <f aca="true" t="shared" si="6" ref="AD134:AD165">N134+U134</f>
        <v>7511.022793480345</v>
      </c>
      <c r="AE134" s="12"/>
      <c r="AF134" s="12"/>
      <c r="AG134" s="12"/>
      <c r="AH134" s="12"/>
    </row>
    <row r="135" spans="2:34" ht="15.75">
      <c r="B135" s="147">
        <v>634</v>
      </c>
      <c r="C135" s="147">
        <v>2201</v>
      </c>
      <c r="D135" s="148" t="s">
        <v>133</v>
      </c>
      <c r="E135" s="147">
        <v>47</v>
      </c>
      <c r="F135" s="149">
        <v>20000</v>
      </c>
      <c r="G135" s="147">
        <v>2</v>
      </c>
      <c r="H135" s="150">
        <v>0</v>
      </c>
      <c r="I135" s="151">
        <v>0</v>
      </c>
      <c r="J135" s="130">
        <v>0</v>
      </c>
      <c r="K135" s="130">
        <f>'Per-Ft'!$L$9</f>
        <v>508.34595000000263</v>
      </c>
      <c r="L135" s="131"/>
      <c r="M135" s="341">
        <f>'Per-Ft'!$J$15+('Rent-List'!F135-20000)*'Per-Ft'!$H$16</f>
        <v>7511.022793480345</v>
      </c>
      <c r="N135" s="326">
        <f aca="true" t="shared" si="7" ref="N135:N198">M135+H135+I135-J135-K135-L135</f>
        <v>7002.6768434803425</v>
      </c>
      <c r="P135" s="292"/>
      <c r="Q135" s="105"/>
      <c r="R135" s="107"/>
      <c r="S135" s="285"/>
      <c r="T135" s="593"/>
      <c r="U135" s="607"/>
      <c r="V135" s="463"/>
      <c r="W135" s="316"/>
      <c r="X135" s="316"/>
      <c r="Y135" s="108"/>
      <c r="Z135" s="108"/>
      <c r="AA135" s="108"/>
      <c r="AB135" s="108"/>
      <c r="AC135" s="108"/>
      <c r="AD135" s="132">
        <f t="shared" si="6"/>
        <v>7002.6768434803425</v>
      </c>
      <c r="AE135" s="12"/>
      <c r="AF135" s="12"/>
      <c r="AG135" s="12"/>
      <c r="AH135" s="12"/>
    </row>
    <row r="136" spans="2:34" ht="15.75">
      <c r="B136" s="147">
        <v>538</v>
      </c>
      <c r="C136" s="147">
        <v>1808</v>
      </c>
      <c r="D136" s="148" t="s">
        <v>26</v>
      </c>
      <c r="E136" s="147">
        <v>141</v>
      </c>
      <c r="F136" s="149">
        <v>20000</v>
      </c>
      <c r="G136" s="147">
        <v>1</v>
      </c>
      <c r="H136" s="150">
        <f>'Per-Ft'!$L$19</f>
        <v>508.3459499999999</v>
      </c>
      <c r="I136" s="151">
        <v>0</v>
      </c>
      <c r="J136" s="151">
        <v>0</v>
      </c>
      <c r="K136" s="151">
        <v>0</v>
      </c>
      <c r="L136" s="131"/>
      <c r="M136" s="341">
        <f>'Per-Ft'!$J$15+('Rent-List'!F136-20000)*'Per-Ft'!$H$16</f>
        <v>7511.022793480345</v>
      </c>
      <c r="N136" s="326">
        <f t="shared" si="7"/>
        <v>8019.368743480345</v>
      </c>
      <c r="P136" s="292"/>
      <c r="Q136" s="105"/>
      <c r="R136" s="107"/>
      <c r="S136" s="285"/>
      <c r="T136" s="593"/>
      <c r="U136" s="607"/>
      <c r="V136" s="463"/>
      <c r="W136" s="316"/>
      <c r="X136" s="316"/>
      <c r="Y136" s="108"/>
      <c r="Z136" s="108"/>
      <c r="AA136" s="108"/>
      <c r="AB136" s="108"/>
      <c r="AC136" s="108"/>
      <c r="AD136" s="132">
        <f t="shared" si="6"/>
        <v>8019.368743480345</v>
      </c>
      <c r="AE136" s="12"/>
      <c r="AF136" s="12"/>
      <c r="AG136" s="12"/>
      <c r="AH136" s="12"/>
    </row>
    <row r="137" spans="2:34" ht="15.75">
      <c r="B137" s="147">
        <v>559</v>
      </c>
      <c r="C137" s="147">
        <v>2114</v>
      </c>
      <c r="D137" s="148" t="s">
        <v>162</v>
      </c>
      <c r="E137" s="147">
        <v>123</v>
      </c>
      <c r="F137" s="149">
        <v>20000</v>
      </c>
      <c r="G137" s="147">
        <v>1</v>
      </c>
      <c r="H137" s="150">
        <v>0</v>
      </c>
      <c r="I137" s="130">
        <f>'Per-Ft'!$L$16</f>
        <v>254.17297500000132</v>
      </c>
      <c r="J137" s="151">
        <v>0</v>
      </c>
      <c r="K137" s="151">
        <v>0</v>
      </c>
      <c r="L137" s="131"/>
      <c r="M137" s="341">
        <f>'Per-Ft'!$J$15+('Rent-List'!F137-20000)*'Per-Ft'!$H$16</f>
        <v>7511.022793480345</v>
      </c>
      <c r="N137" s="326">
        <f t="shared" si="7"/>
        <v>7765.1957684803465</v>
      </c>
      <c r="P137" s="292"/>
      <c r="Q137" s="105"/>
      <c r="R137" s="107"/>
      <c r="S137" s="285"/>
      <c r="T137" s="593"/>
      <c r="U137" s="607"/>
      <c r="V137" s="463"/>
      <c r="W137" s="316"/>
      <c r="X137" s="316"/>
      <c r="Y137" s="108"/>
      <c r="Z137" s="108"/>
      <c r="AA137" s="108"/>
      <c r="AB137" s="108"/>
      <c r="AC137" s="108"/>
      <c r="AD137" s="132">
        <f t="shared" si="6"/>
        <v>7765.1957684803465</v>
      </c>
      <c r="AE137" s="12"/>
      <c r="AF137" s="12"/>
      <c r="AG137" s="12"/>
      <c r="AH137" s="12"/>
    </row>
    <row r="138" spans="2:34" ht="15.75">
      <c r="B138" s="147">
        <v>540</v>
      </c>
      <c r="C138" s="147">
        <v>2113</v>
      </c>
      <c r="D138" s="148" t="s">
        <v>343</v>
      </c>
      <c r="E138" s="147" t="s">
        <v>356</v>
      </c>
      <c r="F138" s="149">
        <v>20010</v>
      </c>
      <c r="G138" s="147">
        <v>1</v>
      </c>
      <c r="H138" s="150">
        <f>'Per-Ft'!$L$19</f>
        <v>508.3459499999999</v>
      </c>
      <c r="I138" s="151">
        <v>0</v>
      </c>
      <c r="J138" s="151">
        <v>0</v>
      </c>
      <c r="K138" s="151">
        <v>0</v>
      </c>
      <c r="L138" s="131"/>
      <c r="M138" s="341">
        <f>'Per-Ft'!$J$15+('Rent-List'!F138-20000)*'Per-Ft'!$H$16</f>
        <v>7511.419181318317</v>
      </c>
      <c r="N138" s="326">
        <f t="shared" si="7"/>
        <v>8019.765131318317</v>
      </c>
      <c r="P138" s="292"/>
      <c r="Q138" s="105"/>
      <c r="R138" s="107"/>
      <c r="S138" s="285"/>
      <c r="T138" s="593"/>
      <c r="U138" s="607"/>
      <c r="V138" s="463"/>
      <c r="W138" s="316"/>
      <c r="X138" s="316"/>
      <c r="Y138" s="108"/>
      <c r="Z138" s="108"/>
      <c r="AA138" s="108"/>
      <c r="AB138" s="108"/>
      <c r="AC138" s="108"/>
      <c r="AD138" s="132">
        <f t="shared" si="6"/>
        <v>8019.765131318317</v>
      </c>
      <c r="AE138" s="12"/>
      <c r="AF138" s="12"/>
      <c r="AG138" s="12"/>
      <c r="AH138" s="12"/>
    </row>
    <row r="139" spans="2:34" ht="15.75">
      <c r="B139" s="147">
        <v>629</v>
      </c>
      <c r="C139" s="147">
        <v>2207</v>
      </c>
      <c r="D139" s="148" t="s">
        <v>68</v>
      </c>
      <c r="E139" s="147">
        <v>41</v>
      </c>
      <c r="F139" s="149">
        <v>20084</v>
      </c>
      <c r="G139" s="147">
        <v>1</v>
      </c>
      <c r="H139" s="150">
        <v>0</v>
      </c>
      <c r="I139" s="151">
        <v>0</v>
      </c>
      <c r="J139" s="151">
        <v>0</v>
      </c>
      <c r="K139" s="151">
        <v>0</v>
      </c>
      <c r="L139" s="131"/>
      <c r="M139" s="341">
        <f>'Per-Ft'!$J$15+('Rent-List'!F139-20000)*'Per-Ft'!$H$16</f>
        <v>7514.35245131931</v>
      </c>
      <c r="N139" s="326">
        <f t="shared" si="7"/>
        <v>7514.35245131931</v>
      </c>
      <c r="P139" s="292"/>
      <c r="Q139" s="105"/>
      <c r="R139" s="107"/>
      <c r="S139" s="285"/>
      <c r="T139" s="593"/>
      <c r="U139" s="607"/>
      <c r="V139" s="463"/>
      <c r="W139" s="316"/>
      <c r="X139" s="316"/>
      <c r="Y139" s="108"/>
      <c r="Z139" s="108"/>
      <c r="AA139" s="108"/>
      <c r="AB139" s="108"/>
      <c r="AC139" s="108"/>
      <c r="AD139" s="132">
        <f t="shared" si="6"/>
        <v>7514.35245131931</v>
      </c>
      <c r="AE139" s="12"/>
      <c r="AF139" s="12"/>
      <c r="AG139" s="12"/>
      <c r="AH139" s="12"/>
    </row>
    <row r="140" spans="2:34" ht="15.75">
      <c r="B140" s="147">
        <v>606</v>
      </c>
      <c r="C140" s="147">
        <v>2106</v>
      </c>
      <c r="D140" s="148" t="s">
        <v>164</v>
      </c>
      <c r="E140" s="147">
        <v>15</v>
      </c>
      <c r="F140" s="149">
        <v>20124</v>
      </c>
      <c r="G140" s="147">
        <v>1</v>
      </c>
      <c r="H140" s="150">
        <f>('Per-Ft'!$L$19/2)*0.56</f>
        <v>142.336866</v>
      </c>
      <c r="I140" s="176">
        <v>0</v>
      </c>
      <c r="J140" s="151">
        <v>0</v>
      </c>
      <c r="K140" s="151">
        <v>0</v>
      </c>
      <c r="L140" s="131"/>
      <c r="M140" s="341">
        <f>'Per-Ft'!$J$15+('Rent-List'!F140-20000)*'Per-Ft'!$H$16</f>
        <v>7515.938002671198</v>
      </c>
      <c r="N140" s="326">
        <f t="shared" si="7"/>
        <v>7658.2748686711975</v>
      </c>
      <c r="P140" s="292"/>
      <c r="Q140" s="105"/>
      <c r="R140" s="107"/>
      <c r="S140" s="285"/>
      <c r="T140" s="593"/>
      <c r="U140" s="607"/>
      <c r="V140" s="463"/>
      <c r="W140" s="316"/>
      <c r="X140" s="316"/>
      <c r="Y140" s="108"/>
      <c r="Z140" s="108"/>
      <c r="AA140" s="108"/>
      <c r="AB140" s="108"/>
      <c r="AC140" s="108"/>
      <c r="AD140" s="132">
        <f t="shared" si="6"/>
        <v>7658.2748686711975</v>
      </c>
      <c r="AE140" s="12"/>
      <c r="AF140" s="12"/>
      <c r="AG140" s="12"/>
      <c r="AH140" s="12"/>
    </row>
    <row r="141" spans="2:34" ht="15.75">
      <c r="B141" s="147">
        <v>562</v>
      </c>
      <c r="C141" s="147">
        <v>2115</v>
      </c>
      <c r="D141" s="148" t="s">
        <v>162</v>
      </c>
      <c r="E141" s="147">
        <v>101.5</v>
      </c>
      <c r="F141" s="149">
        <v>20127</v>
      </c>
      <c r="G141" s="147">
        <v>1</v>
      </c>
      <c r="H141" s="150">
        <v>0</v>
      </c>
      <c r="I141" s="151">
        <v>0</v>
      </c>
      <c r="J141" s="151">
        <v>0</v>
      </c>
      <c r="K141" s="151">
        <v>0</v>
      </c>
      <c r="L141" s="131"/>
      <c r="M141" s="341">
        <f>'Per-Ft'!$J$15+('Rent-List'!F141-20000)*'Per-Ft'!$H$16</f>
        <v>7516.05691902259</v>
      </c>
      <c r="N141" s="326">
        <f t="shared" si="7"/>
        <v>7516.05691902259</v>
      </c>
      <c r="P141" s="292"/>
      <c r="Q141" s="105"/>
      <c r="R141" s="107"/>
      <c r="S141" s="285"/>
      <c r="T141" s="593"/>
      <c r="U141" s="607"/>
      <c r="V141" s="463"/>
      <c r="W141" s="316"/>
      <c r="X141" s="316"/>
      <c r="Y141" s="108"/>
      <c r="Z141" s="108"/>
      <c r="AA141" s="108"/>
      <c r="AB141" s="108"/>
      <c r="AC141" s="108"/>
      <c r="AD141" s="132">
        <f t="shared" si="6"/>
        <v>7516.05691902259</v>
      </c>
      <c r="AE141" s="12"/>
      <c r="AF141" s="12"/>
      <c r="AG141" s="12"/>
      <c r="AH141" s="12"/>
    </row>
    <row r="142" spans="2:34" ht="15.75">
      <c r="B142" s="147">
        <v>506</v>
      </c>
      <c r="C142" s="147">
        <v>2116</v>
      </c>
      <c r="D142" s="148" t="s">
        <v>294</v>
      </c>
      <c r="E142" s="147">
        <v>87</v>
      </c>
      <c r="F142" s="149">
        <v>20200</v>
      </c>
      <c r="G142" s="147">
        <v>1</v>
      </c>
      <c r="H142" s="150">
        <v>0</v>
      </c>
      <c r="I142" s="151">
        <v>0</v>
      </c>
      <c r="J142" s="151">
        <v>0</v>
      </c>
      <c r="K142" s="151">
        <v>0</v>
      </c>
      <c r="L142" s="131"/>
      <c r="M142" s="341">
        <f>'Per-Ft'!$J$15+('Rent-List'!F142-20000)*'Per-Ft'!$H$16</f>
        <v>7518.950550239785</v>
      </c>
      <c r="N142" s="326">
        <f t="shared" si="7"/>
        <v>7518.950550239785</v>
      </c>
      <c r="P142" s="292"/>
      <c r="Q142" s="105"/>
      <c r="R142" s="107"/>
      <c r="S142" s="285"/>
      <c r="T142" s="593"/>
      <c r="U142" s="607"/>
      <c r="V142" s="463"/>
      <c r="W142" s="316"/>
      <c r="X142" s="316"/>
      <c r="Y142" s="108"/>
      <c r="Z142" s="108"/>
      <c r="AA142" s="108"/>
      <c r="AB142" s="108"/>
      <c r="AC142" s="108"/>
      <c r="AD142" s="132">
        <f t="shared" si="6"/>
        <v>7518.950550239785</v>
      </c>
      <c r="AE142" s="12"/>
      <c r="AF142" s="12"/>
      <c r="AG142" s="12"/>
      <c r="AH142" s="12"/>
    </row>
    <row r="143" spans="2:34" ht="15.75">
      <c r="B143" s="147">
        <v>609</v>
      </c>
      <c r="C143" s="164">
        <v>2205</v>
      </c>
      <c r="D143" s="175" t="s">
        <v>203</v>
      </c>
      <c r="E143" s="147" t="s">
        <v>204</v>
      </c>
      <c r="F143" s="149">
        <v>20317</v>
      </c>
      <c r="G143" s="147">
        <v>1</v>
      </c>
      <c r="H143" s="150">
        <v>0</v>
      </c>
      <c r="I143" s="151">
        <v>0</v>
      </c>
      <c r="J143" s="151">
        <v>0</v>
      </c>
      <c r="K143" s="151">
        <v>0</v>
      </c>
      <c r="L143" s="131"/>
      <c r="M143" s="341">
        <f>'Per-Ft'!$J$15+('Rent-List'!F143-20000)*'Per-Ft'!$H$16</f>
        <v>7523.588287944058</v>
      </c>
      <c r="N143" s="326">
        <f t="shared" si="7"/>
        <v>7523.588287944058</v>
      </c>
      <c r="P143" s="292"/>
      <c r="Q143" s="105"/>
      <c r="R143" s="107"/>
      <c r="S143" s="285"/>
      <c r="T143" s="593"/>
      <c r="U143" s="607"/>
      <c r="V143" s="463"/>
      <c r="W143" s="316"/>
      <c r="X143" s="316"/>
      <c r="Y143" s="108"/>
      <c r="Z143" s="108"/>
      <c r="AA143" s="108"/>
      <c r="AB143" s="108"/>
      <c r="AC143" s="108"/>
      <c r="AD143" s="132">
        <f t="shared" si="6"/>
        <v>7523.588287944058</v>
      </c>
      <c r="AE143" s="12"/>
      <c r="AF143" s="12"/>
      <c r="AG143" s="12"/>
      <c r="AH143" s="12"/>
    </row>
    <row r="144" spans="2:34" ht="15.75">
      <c r="B144" s="147">
        <v>678</v>
      </c>
      <c r="C144" s="147">
        <v>2401</v>
      </c>
      <c r="D144" s="148" t="s">
        <v>279</v>
      </c>
      <c r="E144" s="147">
        <v>78</v>
      </c>
      <c r="F144" s="149">
        <v>20597</v>
      </c>
      <c r="G144" s="147">
        <v>1</v>
      </c>
      <c r="H144" s="150">
        <f>'Per-Ft'!$L$19</f>
        <v>508.3459499999999</v>
      </c>
      <c r="I144" s="151">
        <v>0</v>
      </c>
      <c r="J144" s="151">
        <v>0</v>
      </c>
      <c r="K144" s="151">
        <v>0</v>
      </c>
      <c r="L144" s="131"/>
      <c r="M144" s="341">
        <f>'Per-Ft'!$J$15+('Rent-List'!F144-20000)*'Per-Ft'!$H$16</f>
        <v>7534.687147407273</v>
      </c>
      <c r="N144" s="326">
        <f t="shared" si="7"/>
        <v>8043.033097407273</v>
      </c>
      <c r="P144" s="292"/>
      <c r="Q144" s="105"/>
      <c r="R144" s="107"/>
      <c r="S144" s="285"/>
      <c r="T144" s="593"/>
      <c r="U144" s="607"/>
      <c r="V144" s="463"/>
      <c r="W144" s="316"/>
      <c r="X144" s="316"/>
      <c r="Y144" s="108"/>
      <c r="Z144" s="108"/>
      <c r="AA144" s="108"/>
      <c r="AB144" s="108"/>
      <c r="AC144" s="108"/>
      <c r="AD144" s="132">
        <f t="shared" si="6"/>
        <v>8043.033097407273</v>
      </c>
      <c r="AE144" s="12"/>
      <c r="AF144" s="12"/>
      <c r="AG144" s="12"/>
      <c r="AH144" s="12"/>
    </row>
    <row r="145" spans="1:34" ht="15.75">
      <c r="A145" s="277" t="s">
        <v>189</v>
      </c>
      <c r="B145" s="157">
        <v>576</v>
      </c>
      <c r="C145" s="157">
        <v>1913</v>
      </c>
      <c r="D145" s="158" t="s">
        <v>68</v>
      </c>
      <c r="E145" s="157">
        <v>128</v>
      </c>
      <c r="F145" s="159">
        <v>20685</v>
      </c>
      <c r="G145" s="157">
        <v>2</v>
      </c>
      <c r="H145" s="160">
        <v>0</v>
      </c>
      <c r="I145" s="161">
        <v>0</v>
      </c>
      <c r="J145" s="282">
        <f>'Per-Ft'!$L$13</f>
        <v>254.1729750000004</v>
      </c>
      <c r="K145" s="161">
        <v>0</v>
      </c>
      <c r="L145" s="162"/>
      <c r="M145" s="538">
        <f>'Per-Ft'!$J$15+('Rent-List'!F145-20000)*'Per-Ft'!$H$16</f>
        <v>7538.175360381427</v>
      </c>
      <c r="N145" s="326">
        <f t="shared" si="7"/>
        <v>7284.002385381426</v>
      </c>
      <c r="O145" s="277"/>
      <c r="P145" s="297"/>
      <c r="Q145" s="277" t="str">
        <f>A145</f>
        <v>Duplex Rentals</v>
      </c>
      <c r="R145" s="278"/>
      <c r="S145" s="288"/>
      <c r="T145" s="280"/>
      <c r="U145" s="279"/>
      <c r="V145" s="399"/>
      <c r="W145" s="321"/>
      <c r="X145" s="321"/>
      <c r="Y145" s="279"/>
      <c r="Z145" s="279"/>
      <c r="AA145" s="279"/>
      <c r="AB145" s="279"/>
      <c r="AC145" s="279"/>
      <c r="AD145" s="281">
        <f t="shared" si="6"/>
        <v>7284.002385381426</v>
      </c>
      <c r="AE145" s="12"/>
      <c r="AF145" s="12"/>
      <c r="AG145" s="12"/>
      <c r="AH145" s="12"/>
    </row>
    <row r="146" spans="2:34" ht="15.75">
      <c r="B146" s="147">
        <v>688</v>
      </c>
      <c r="C146" s="147">
        <v>2217</v>
      </c>
      <c r="D146" s="148" t="s">
        <v>1</v>
      </c>
      <c r="E146" s="147">
        <v>10</v>
      </c>
      <c r="F146" s="149">
        <v>20786</v>
      </c>
      <c r="G146" s="147">
        <v>1</v>
      </c>
      <c r="H146" s="150">
        <v>0</v>
      </c>
      <c r="I146" s="151">
        <v>0</v>
      </c>
      <c r="J146" s="130">
        <f>'Per-Ft'!$L$13</f>
        <v>254.1729750000004</v>
      </c>
      <c r="K146" s="151">
        <v>0</v>
      </c>
      <c r="L146" s="131"/>
      <c r="M146" s="341">
        <f>'Per-Ft'!$J$15+('Rent-List'!F146-20000)*'Per-Ft'!$H$16</f>
        <v>7542.178877544944</v>
      </c>
      <c r="N146" s="326">
        <f t="shared" si="7"/>
        <v>7288.005902544944</v>
      </c>
      <c r="P146" s="292"/>
      <c r="Q146" s="105"/>
      <c r="R146" s="107"/>
      <c r="S146" s="285"/>
      <c r="T146" s="593"/>
      <c r="U146" s="607"/>
      <c r="V146" s="463"/>
      <c r="W146" s="316"/>
      <c r="X146" s="316"/>
      <c r="Y146" s="108"/>
      <c r="Z146" s="108"/>
      <c r="AA146" s="108"/>
      <c r="AB146" s="108"/>
      <c r="AC146" s="108"/>
      <c r="AD146" s="132">
        <f t="shared" si="6"/>
        <v>7288.005902544944</v>
      </c>
      <c r="AE146" s="12"/>
      <c r="AF146" s="12"/>
      <c r="AG146" s="12"/>
      <c r="AH146" s="12"/>
    </row>
    <row r="147" spans="2:34" ht="15.75">
      <c r="B147" s="147">
        <v>537</v>
      </c>
      <c r="C147" s="147">
        <v>2122</v>
      </c>
      <c r="D147" s="148" t="s">
        <v>295</v>
      </c>
      <c r="E147" s="147">
        <v>117</v>
      </c>
      <c r="F147" s="149">
        <v>20943</v>
      </c>
      <c r="G147" s="147">
        <v>1</v>
      </c>
      <c r="H147" s="150">
        <v>0</v>
      </c>
      <c r="I147" s="130">
        <f>'Per-Ft'!$L$16</f>
        <v>254.17297500000132</v>
      </c>
      <c r="J147" s="151">
        <v>0</v>
      </c>
      <c r="K147" s="151">
        <v>0</v>
      </c>
      <c r="L147" s="131"/>
      <c r="M147" s="341">
        <f>'Per-Ft'!$J$15+('Rent-List'!F147-20000)*'Per-Ft'!$H$16</f>
        <v>7548.402166601104</v>
      </c>
      <c r="N147" s="326">
        <f t="shared" si="7"/>
        <v>7802.575141601105</v>
      </c>
      <c r="P147" s="292"/>
      <c r="Q147" s="105"/>
      <c r="R147" s="107"/>
      <c r="S147" s="285"/>
      <c r="T147" s="593"/>
      <c r="U147" s="607"/>
      <c r="V147" s="463"/>
      <c r="W147" s="316"/>
      <c r="X147" s="316"/>
      <c r="Y147" s="108"/>
      <c r="Z147" s="108"/>
      <c r="AA147" s="108"/>
      <c r="AB147" s="108"/>
      <c r="AC147" s="108"/>
      <c r="AD147" s="132">
        <f t="shared" si="6"/>
        <v>7802.575141601105</v>
      </c>
      <c r="AE147" s="12"/>
      <c r="AF147" s="12"/>
      <c r="AG147" s="12"/>
      <c r="AH147" s="12"/>
    </row>
    <row r="148" spans="2:34" ht="15.75">
      <c r="B148" s="147">
        <v>603</v>
      </c>
      <c r="C148" s="147">
        <v>2221</v>
      </c>
      <c r="D148" s="148" t="s">
        <v>55</v>
      </c>
      <c r="E148" s="147">
        <v>9</v>
      </c>
      <c r="F148" s="149">
        <v>20949</v>
      </c>
      <c r="G148" s="147">
        <v>1</v>
      </c>
      <c r="H148" s="150">
        <v>0</v>
      </c>
      <c r="I148" s="151">
        <v>0</v>
      </c>
      <c r="J148" s="130">
        <f>'Per-Ft'!$L$13</f>
        <v>254.1729750000004</v>
      </c>
      <c r="K148" s="151">
        <v>0</v>
      </c>
      <c r="L148" s="131"/>
      <c r="M148" s="341">
        <f>'Per-Ft'!$J$15+('Rent-List'!F148-20000)*'Per-Ft'!$H$16</f>
        <v>7548.639999303888</v>
      </c>
      <c r="N148" s="326">
        <f t="shared" si="7"/>
        <v>7294.467024303887</v>
      </c>
      <c r="P148" s="292"/>
      <c r="Q148" s="105"/>
      <c r="R148" s="107"/>
      <c r="S148" s="285"/>
      <c r="T148" s="593"/>
      <c r="U148" s="607"/>
      <c r="V148" s="463"/>
      <c r="W148" s="316"/>
      <c r="X148" s="316"/>
      <c r="Y148" s="108"/>
      <c r="Z148" s="108"/>
      <c r="AA148" s="108"/>
      <c r="AB148" s="108"/>
      <c r="AC148" s="108"/>
      <c r="AD148" s="132">
        <f t="shared" si="6"/>
        <v>7294.467024303887</v>
      </c>
      <c r="AE148" s="12"/>
      <c r="AF148" s="12"/>
      <c r="AG148" s="12"/>
      <c r="AH148" s="12"/>
    </row>
    <row r="149" spans="2:34" ht="15.75">
      <c r="B149" s="147">
        <v>553</v>
      </c>
      <c r="C149" s="147">
        <v>1904</v>
      </c>
      <c r="D149" s="148" t="s">
        <v>68</v>
      </c>
      <c r="E149" s="147">
        <v>119.5</v>
      </c>
      <c r="F149" s="149">
        <v>21080</v>
      </c>
      <c r="G149" s="147">
        <v>1</v>
      </c>
      <c r="H149" s="150">
        <v>0</v>
      </c>
      <c r="I149" s="130">
        <f>'Per-Ft'!$L$16</f>
        <v>254.17297500000132</v>
      </c>
      <c r="J149" s="151">
        <v>0</v>
      </c>
      <c r="K149" s="151">
        <v>0</v>
      </c>
      <c r="L149" s="131"/>
      <c r="M149" s="342">
        <f>'Per-Ft'!$J$16+('Rent-List'!F149-21000)*'Per-Ft'!$H$17</f>
        <v>7553.443246315945</v>
      </c>
      <c r="N149" s="326">
        <f t="shared" si="7"/>
        <v>7807.616221315946</v>
      </c>
      <c r="P149" s="292"/>
      <c r="Q149" s="105"/>
      <c r="R149" s="107"/>
      <c r="S149" s="285"/>
      <c r="T149" s="593"/>
      <c r="U149" s="607"/>
      <c r="V149" s="463"/>
      <c r="W149" s="316"/>
      <c r="X149" s="316"/>
      <c r="Y149" s="108"/>
      <c r="Z149" s="108"/>
      <c r="AA149" s="108"/>
      <c r="AB149" s="108"/>
      <c r="AC149" s="108"/>
      <c r="AD149" s="132">
        <f t="shared" si="6"/>
        <v>7807.616221315946</v>
      </c>
      <c r="AE149" s="12"/>
      <c r="AF149" s="12"/>
      <c r="AG149" s="12"/>
      <c r="AH149" s="12"/>
    </row>
    <row r="150" spans="2:34" ht="15.75">
      <c r="B150" s="147">
        <v>670</v>
      </c>
      <c r="C150" s="147">
        <v>1613</v>
      </c>
      <c r="D150" s="148" t="s">
        <v>278</v>
      </c>
      <c r="E150" s="147">
        <v>69.5</v>
      </c>
      <c r="F150" s="149">
        <v>21214</v>
      </c>
      <c r="G150" s="147">
        <v>1</v>
      </c>
      <c r="H150" s="150">
        <f>'Per-Ft'!$L$19</f>
        <v>508.3459499999999</v>
      </c>
      <c r="I150" s="151">
        <v>0</v>
      </c>
      <c r="J150" s="151">
        <v>0</v>
      </c>
      <c r="K150" s="151">
        <v>0</v>
      </c>
      <c r="L150" s="131"/>
      <c r="M150" s="342">
        <f>'Per-Ft'!$J$16+('Rent-List'!F150-21000)*'Per-Ft'!$H$17</f>
        <v>7558.102541955265</v>
      </c>
      <c r="N150" s="326">
        <f t="shared" si="7"/>
        <v>8066.448491955265</v>
      </c>
      <c r="P150" s="292"/>
      <c r="Q150" s="105"/>
      <c r="R150" s="107"/>
      <c r="S150" s="285"/>
      <c r="T150" s="593"/>
      <c r="U150" s="607"/>
      <c r="V150" s="463"/>
      <c r="W150" s="316"/>
      <c r="X150" s="316"/>
      <c r="Y150" s="108"/>
      <c r="Z150" s="108"/>
      <c r="AA150" s="108"/>
      <c r="AB150" s="108"/>
      <c r="AC150" s="108"/>
      <c r="AD150" s="132">
        <f t="shared" si="6"/>
        <v>8066.448491955265</v>
      </c>
      <c r="AE150" s="12"/>
      <c r="AF150" s="12"/>
      <c r="AG150" s="12"/>
      <c r="AH150" s="12"/>
    </row>
    <row r="151" spans="2:34" ht="15.75">
      <c r="B151" s="147">
        <v>539</v>
      </c>
      <c r="C151" s="147">
        <v>1806</v>
      </c>
      <c r="D151" s="148" t="s">
        <v>26</v>
      </c>
      <c r="E151" s="147">
        <v>142</v>
      </c>
      <c r="F151" s="149">
        <v>21234</v>
      </c>
      <c r="G151" s="147">
        <v>1</v>
      </c>
      <c r="H151" s="150">
        <f>'Per-Ft'!$L$19</f>
        <v>508.3459499999999</v>
      </c>
      <c r="I151" s="151">
        <v>0</v>
      </c>
      <c r="J151" s="151">
        <v>0</v>
      </c>
      <c r="K151" s="151">
        <v>0</v>
      </c>
      <c r="L151" s="131"/>
      <c r="M151" s="342">
        <f>'Per-Ft'!$J$16+('Rent-List'!F151-21000)*'Per-Ft'!$H$17</f>
        <v>7558.797959214865</v>
      </c>
      <c r="N151" s="326">
        <f t="shared" si="7"/>
        <v>8067.143909214865</v>
      </c>
      <c r="P151" s="292"/>
      <c r="Q151" s="105"/>
      <c r="R151" s="107"/>
      <c r="S151" s="285"/>
      <c r="T151" s="593"/>
      <c r="U151" s="607"/>
      <c r="V151" s="463"/>
      <c r="W151" s="316"/>
      <c r="X151" s="316"/>
      <c r="Y151" s="108"/>
      <c r="Z151" s="108"/>
      <c r="AA151" s="108"/>
      <c r="AB151" s="108"/>
      <c r="AC151" s="108"/>
      <c r="AD151" s="132">
        <f t="shared" si="6"/>
        <v>8067.143909214865</v>
      </c>
      <c r="AE151" s="12"/>
      <c r="AF151" s="12"/>
      <c r="AG151" s="12"/>
      <c r="AH151" s="12"/>
    </row>
    <row r="152" spans="1:34" ht="15.75">
      <c r="A152" s="277" t="s">
        <v>189</v>
      </c>
      <c r="B152" s="157">
        <v>519</v>
      </c>
      <c r="C152" s="157">
        <v>2106</v>
      </c>
      <c r="D152" s="158" t="s">
        <v>294</v>
      </c>
      <c r="E152" s="157">
        <v>92.5</v>
      </c>
      <c r="F152" s="159">
        <v>21293</v>
      </c>
      <c r="G152" s="157">
        <v>2</v>
      </c>
      <c r="H152" s="160">
        <v>0</v>
      </c>
      <c r="I152" s="161">
        <v>0</v>
      </c>
      <c r="J152" s="161">
        <v>0</v>
      </c>
      <c r="K152" s="161">
        <v>0</v>
      </c>
      <c r="L152" s="162"/>
      <c r="M152" s="538">
        <f>'Per-Ft'!$J$16+('Rent-List'!F152-21000)*'Per-Ft'!$H$17</f>
        <v>7560.849440130684</v>
      </c>
      <c r="N152" s="326">
        <f t="shared" si="7"/>
        <v>7560.849440130684</v>
      </c>
      <c r="O152" s="277"/>
      <c r="P152" s="297"/>
      <c r="Q152" s="277" t="str">
        <f>A152</f>
        <v>Duplex Rentals</v>
      </c>
      <c r="R152" s="278"/>
      <c r="S152" s="288"/>
      <c r="T152" s="280"/>
      <c r="U152" s="279"/>
      <c r="V152" s="399"/>
      <c r="W152" s="321"/>
      <c r="X152" s="321"/>
      <c r="Y152" s="279"/>
      <c r="Z152" s="279"/>
      <c r="AA152" s="279"/>
      <c r="AB152" s="279"/>
      <c r="AC152" s="279"/>
      <c r="AD152" s="281">
        <f t="shared" si="6"/>
        <v>7560.849440130684</v>
      </c>
      <c r="AE152" s="12"/>
      <c r="AF152" s="12"/>
      <c r="AG152" s="12"/>
      <c r="AH152" s="12"/>
    </row>
    <row r="153" spans="2:34" ht="15.75">
      <c r="B153" s="147">
        <v>513</v>
      </c>
      <c r="C153" s="147">
        <v>2115</v>
      </c>
      <c r="D153" s="148" t="s">
        <v>398</v>
      </c>
      <c r="E153" s="147">
        <v>97</v>
      </c>
      <c r="F153" s="149">
        <v>21380</v>
      </c>
      <c r="G153" s="147">
        <v>1</v>
      </c>
      <c r="H153" s="150">
        <v>0</v>
      </c>
      <c r="I153" s="151">
        <v>0</v>
      </c>
      <c r="J153" s="151">
        <v>0</v>
      </c>
      <c r="K153" s="151">
        <v>0</v>
      </c>
      <c r="L153" s="131"/>
      <c r="M153" s="342">
        <f>'Per-Ft'!$J$16+('Rent-List'!F153-21000)*'Per-Ft'!$H$17</f>
        <v>7563.874505209945</v>
      </c>
      <c r="N153" s="326">
        <f t="shared" si="7"/>
        <v>7563.874505209945</v>
      </c>
      <c r="P153" s="292"/>
      <c r="Q153" s="105"/>
      <c r="R153" s="107"/>
      <c r="S153" s="285"/>
      <c r="T153" s="593"/>
      <c r="U153" s="607"/>
      <c r="V153" s="463"/>
      <c r="W153" s="316"/>
      <c r="X153" s="316"/>
      <c r="Y153" s="108"/>
      <c r="Z153" s="108"/>
      <c r="AA153" s="108"/>
      <c r="AB153" s="108"/>
      <c r="AC153" s="108"/>
      <c r="AD153" s="132">
        <f t="shared" si="6"/>
        <v>7563.874505209945</v>
      </c>
      <c r="AE153" s="12"/>
      <c r="AF153" s="12"/>
      <c r="AG153" s="12"/>
      <c r="AH153" s="12"/>
    </row>
    <row r="154" spans="2:34" ht="15.75">
      <c r="B154" s="147">
        <v>536</v>
      </c>
      <c r="C154" s="147">
        <v>2120</v>
      </c>
      <c r="D154" s="148" t="s">
        <v>295</v>
      </c>
      <c r="E154" s="147">
        <v>116</v>
      </c>
      <c r="F154" s="149">
        <v>21655</v>
      </c>
      <c r="G154" s="147">
        <v>1</v>
      </c>
      <c r="H154" s="150">
        <f>'Per-Ft'!$L$19</f>
        <v>508.3459499999999</v>
      </c>
      <c r="I154" s="130">
        <f>'Per-Ft'!$L$16</f>
        <v>254.17297500000132</v>
      </c>
      <c r="J154" s="151">
        <v>0</v>
      </c>
      <c r="K154" s="151">
        <v>0</v>
      </c>
      <c r="L154" s="131"/>
      <c r="M154" s="342">
        <f>'Per-Ft'!$J$16+('Rent-List'!F154-21000)*'Per-Ft'!$H$17</f>
        <v>7573.436492529445</v>
      </c>
      <c r="N154" s="326">
        <f t="shared" si="7"/>
        <v>8335.955417529447</v>
      </c>
      <c r="P154" s="292"/>
      <c r="Q154" s="105"/>
      <c r="R154" s="107"/>
      <c r="S154" s="285"/>
      <c r="T154" s="593"/>
      <c r="U154" s="607"/>
      <c r="V154" s="463"/>
      <c r="W154" s="316"/>
      <c r="X154" s="316"/>
      <c r="Y154" s="108"/>
      <c r="Z154" s="108"/>
      <c r="AA154" s="108"/>
      <c r="AB154" s="108"/>
      <c r="AC154" s="108"/>
      <c r="AD154" s="132">
        <f t="shared" si="6"/>
        <v>8335.955417529447</v>
      </c>
      <c r="AE154" s="12"/>
      <c r="AF154" s="12"/>
      <c r="AG154" s="12"/>
      <c r="AH154" s="12"/>
    </row>
    <row r="155" spans="1:34" ht="15.75">
      <c r="A155" s="192" t="s">
        <v>178</v>
      </c>
      <c r="B155" s="193">
        <v>620</v>
      </c>
      <c r="C155" s="193">
        <v>2007</v>
      </c>
      <c r="D155" s="194" t="s">
        <v>164</v>
      </c>
      <c r="E155" s="193">
        <v>24</v>
      </c>
      <c r="F155" s="308">
        <v>21769</v>
      </c>
      <c r="G155" s="193">
        <v>3</v>
      </c>
      <c r="H155" s="309">
        <f>'Per-Ft'!$L$19</f>
        <v>508.3459499999999</v>
      </c>
      <c r="I155" s="310">
        <v>0</v>
      </c>
      <c r="J155" s="310">
        <v>0</v>
      </c>
      <c r="K155" s="310">
        <v>0</v>
      </c>
      <c r="L155" s="311"/>
      <c r="M155" s="546">
        <f>'Per-Ft'!$J$16+('Rent-List'!F155-21000)*'Per-Ft'!$H$17</f>
        <v>7577.400370909165</v>
      </c>
      <c r="N155" s="326">
        <f t="shared" si="7"/>
        <v>8085.746320909165</v>
      </c>
      <c r="O155" s="195">
        <v>24</v>
      </c>
      <c r="P155" s="312">
        <v>8707</v>
      </c>
      <c r="Q155" s="196" t="s">
        <v>179</v>
      </c>
      <c r="R155" s="313">
        <v>1000</v>
      </c>
      <c r="S155" s="197" t="s">
        <v>248</v>
      </c>
      <c r="T155" s="314">
        <v>1125</v>
      </c>
      <c r="U155" s="337">
        <f>V155-Y155+Z155-AA155-X155-AB155-AC155</f>
        <v>5833.015874999998</v>
      </c>
      <c r="V155" s="400">
        <f>T155*$V$4</f>
        <v>13124.25</v>
      </c>
      <c r="W155" s="320">
        <v>137649</v>
      </c>
      <c r="X155" s="320">
        <v>1200</v>
      </c>
      <c r="Y155" s="198">
        <f>W155*$Y$4</f>
        <v>4129.47</v>
      </c>
      <c r="Z155" s="198">
        <f>W155*$Z$4</f>
        <v>2340.0330000000004</v>
      </c>
      <c r="AA155" s="198">
        <f>W155*$AA$4</f>
        <v>2202.384</v>
      </c>
      <c r="AB155" s="320">
        <f>W155*$AB$4</f>
        <v>412.947</v>
      </c>
      <c r="AC155" s="400">
        <f>V155*$AC$4</f>
        <v>1686.4661250000001</v>
      </c>
      <c r="AD155" s="199">
        <f t="shared" si="6"/>
        <v>13918.762195909163</v>
      </c>
      <c r="AE155" s="12"/>
      <c r="AF155" s="12"/>
      <c r="AG155" s="12"/>
      <c r="AH155" s="12"/>
    </row>
    <row r="156" spans="2:34" ht="15.75">
      <c r="B156" s="147">
        <v>565</v>
      </c>
      <c r="C156" s="147">
        <v>2116</v>
      </c>
      <c r="D156" s="148" t="s">
        <v>398</v>
      </c>
      <c r="E156" s="147">
        <v>103</v>
      </c>
      <c r="F156" s="149">
        <v>22000</v>
      </c>
      <c r="G156" s="147">
        <v>1</v>
      </c>
      <c r="H156" s="150">
        <v>0</v>
      </c>
      <c r="I156" s="151">
        <v>0</v>
      </c>
      <c r="J156" s="151">
        <v>0</v>
      </c>
      <c r="K156" s="151">
        <v>0</v>
      </c>
      <c r="L156" s="131"/>
      <c r="M156" s="342">
        <f>'Per-Ft'!$J$17+('Rent-List'!F156-22000)*'Per-Ft'!$H$18</f>
        <v>7585.432440257545</v>
      </c>
      <c r="N156" s="326">
        <f t="shared" si="7"/>
        <v>7585.432440257545</v>
      </c>
      <c r="P156" s="292"/>
      <c r="Q156" s="105"/>
      <c r="R156" s="107"/>
      <c r="S156" s="285"/>
      <c r="T156" s="593"/>
      <c r="U156" s="607"/>
      <c r="V156" s="463"/>
      <c r="W156" s="319"/>
      <c r="X156" s="316"/>
      <c r="Y156" s="108"/>
      <c r="Z156" s="108"/>
      <c r="AA156" s="108"/>
      <c r="AB156" s="108"/>
      <c r="AC156" s="108"/>
      <c r="AD156" s="132">
        <f t="shared" si="6"/>
        <v>7585.432440257545</v>
      </c>
      <c r="AE156" s="12"/>
      <c r="AF156" s="12"/>
      <c r="AG156" s="12"/>
      <c r="AH156" s="12"/>
    </row>
    <row r="157" spans="2:34" ht="15.75">
      <c r="B157" s="147">
        <v>672</v>
      </c>
      <c r="C157" s="147">
        <v>1705</v>
      </c>
      <c r="D157" s="148" t="s">
        <v>342</v>
      </c>
      <c r="E157" s="147">
        <v>71.5</v>
      </c>
      <c r="F157" s="149">
        <v>22256</v>
      </c>
      <c r="G157" s="147">
        <v>1</v>
      </c>
      <c r="H157" s="150">
        <f>'Per-Ft'!$L$19</f>
        <v>508.3459499999999</v>
      </c>
      <c r="I157" s="151">
        <v>0</v>
      </c>
      <c r="J157" s="151">
        <v>0</v>
      </c>
      <c r="K157" s="151">
        <v>0</v>
      </c>
      <c r="L157" s="131"/>
      <c r="M157" s="342">
        <f>'Per-Ft'!$J$17+('Rent-List'!F157-22000)*'Per-Ft'!$H$18</f>
        <v>7593.2406340495445</v>
      </c>
      <c r="N157" s="326">
        <f t="shared" si="7"/>
        <v>8101.586584049544</v>
      </c>
      <c r="P157" s="292"/>
      <c r="Q157" s="105"/>
      <c r="R157" s="107"/>
      <c r="S157" s="285"/>
      <c r="T157" s="593"/>
      <c r="U157" s="607"/>
      <c r="V157" s="463"/>
      <c r="W157" s="319"/>
      <c r="X157" s="316"/>
      <c r="Y157" s="108"/>
      <c r="Z157" s="108"/>
      <c r="AA157" s="108"/>
      <c r="AB157" s="108"/>
      <c r="AC157" s="108"/>
      <c r="AD157" s="132">
        <f t="shared" si="6"/>
        <v>8101.586584049544</v>
      </c>
      <c r="AE157" s="12"/>
      <c r="AF157" s="12"/>
      <c r="AG157" s="12"/>
      <c r="AH157" s="12"/>
    </row>
    <row r="158" spans="2:34" ht="15.75">
      <c r="B158" s="147">
        <v>545</v>
      </c>
      <c r="C158" s="147">
        <v>2123</v>
      </c>
      <c r="D158" s="148" t="s">
        <v>343</v>
      </c>
      <c r="E158" s="147">
        <v>139</v>
      </c>
      <c r="F158" s="149">
        <v>22433</v>
      </c>
      <c r="G158" s="147">
        <v>1</v>
      </c>
      <c r="H158" s="150">
        <v>0</v>
      </c>
      <c r="I158" s="130">
        <f>'Per-Ft'!$L$16</f>
        <v>254.17297500000132</v>
      </c>
      <c r="J158" s="151">
        <v>0</v>
      </c>
      <c r="K158" s="151">
        <v>0</v>
      </c>
      <c r="L158" s="131"/>
      <c r="M158" s="342">
        <f>'Per-Ft'!$J$17+('Rent-List'!F158-22000)*'Per-Ft'!$H$18</f>
        <v>7598.639268038544</v>
      </c>
      <c r="N158" s="326">
        <f t="shared" si="7"/>
        <v>7852.812243038546</v>
      </c>
      <c r="P158" s="292"/>
      <c r="Q158" s="105"/>
      <c r="R158" s="107"/>
      <c r="S158" s="285"/>
      <c r="T158" s="593"/>
      <c r="U158" s="607"/>
      <c r="V158" s="463"/>
      <c r="W158" s="319"/>
      <c r="X158" s="316"/>
      <c r="Y158" s="108"/>
      <c r="Z158" s="108"/>
      <c r="AA158" s="108"/>
      <c r="AB158" s="108"/>
      <c r="AC158" s="108"/>
      <c r="AD158" s="132">
        <f t="shared" si="6"/>
        <v>7852.812243038546</v>
      </c>
      <c r="AE158" s="12"/>
      <c r="AF158" s="12"/>
      <c r="AG158" s="12"/>
      <c r="AH158" s="12"/>
    </row>
    <row r="159" spans="1:34" ht="15.75">
      <c r="A159" s="135" t="s">
        <v>161</v>
      </c>
      <c r="B159" s="136">
        <v>615</v>
      </c>
      <c r="C159" s="136">
        <v>2103</v>
      </c>
      <c r="D159" s="137" t="s">
        <v>164</v>
      </c>
      <c r="E159" s="136">
        <v>14</v>
      </c>
      <c r="F159" s="138">
        <v>22473</v>
      </c>
      <c r="G159" s="136">
        <v>2</v>
      </c>
      <c r="H159" s="139">
        <f>'Per-Ft'!$L$19</f>
        <v>508.3459499999999</v>
      </c>
      <c r="I159" s="140">
        <v>0</v>
      </c>
      <c r="J159" s="140">
        <v>0</v>
      </c>
      <c r="K159" s="140">
        <v>0</v>
      </c>
      <c r="L159" s="141"/>
      <c r="M159" s="537">
        <f>'Per-Ft'!$J$17+('Rent-List'!F159-22000)*'Per-Ft'!$H$18</f>
        <v>7599.8592983185445</v>
      </c>
      <c r="N159" s="326">
        <f t="shared" si="7"/>
        <v>8108.205248318544</v>
      </c>
      <c r="O159" s="142">
        <v>14</v>
      </c>
      <c r="P159" s="294">
        <v>11069</v>
      </c>
      <c r="Q159" s="143" t="s">
        <v>404</v>
      </c>
      <c r="R159" s="144">
        <v>1000</v>
      </c>
      <c r="S159" s="154" t="s">
        <v>408</v>
      </c>
      <c r="T159" s="145">
        <v>1050</v>
      </c>
      <c r="U159" s="155">
        <f>V159-X159-Y159+Z159-AA159-AB159-AC159</f>
        <v>6270.496950000001</v>
      </c>
      <c r="V159" s="395">
        <f>T159*$V$4</f>
        <v>12249.300000000001</v>
      </c>
      <c r="W159" s="317">
        <v>137649</v>
      </c>
      <c r="X159" s="317"/>
      <c r="Y159" s="146">
        <f>W159*$Y$4</f>
        <v>4129.47</v>
      </c>
      <c r="Z159" s="146">
        <f>W159*$Z$4</f>
        <v>2340.0330000000004</v>
      </c>
      <c r="AA159" s="146">
        <f>W159*$AA$4</f>
        <v>2202.384</v>
      </c>
      <c r="AB159" s="317">
        <f>W159*$AB$4</f>
        <v>412.947</v>
      </c>
      <c r="AC159" s="395">
        <f>V159*$AC$4</f>
        <v>1574.0350500000002</v>
      </c>
      <c r="AD159" s="156">
        <f t="shared" si="6"/>
        <v>14378.702198318544</v>
      </c>
      <c r="AE159" s="12"/>
      <c r="AF159" s="12"/>
      <c r="AG159" s="12"/>
      <c r="AH159" s="12"/>
    </row>
    <row r="160" spans="2:34" ht="15.75">
      <c r="B160" s="147">
        <v>543</v>
      </c>
      <c r="C160" s="147">
        <v>1807</v>
      </c>
      <c r="D160" s="148" t="s">
        <v>26</v>
      </c>
      <c r="E160" s="147">
        <v>138</v>
      </c>
      <c r="F160" s="149">
        <v>23554</v>
      </c>
      <c r="G160" s="147">
        <v>1</v>
      </c>
      <c r="H160" s="150">
        <v>0</v>
      </c>
      <c r="I160" s="130">
        <f>'Per-Ft'!$L$16</f>
        <v>254.17297500000132</v>
      </c>
      <c r="J160" s="151">
        <v>0</v>
      </c>
      <c r="K160" s="151">
        <v>0</v>
      </c>
      <c r="L160" s="131"/>
      <c r="M160" s="342">
        <f>'Per-Ft'!$J$18+('Rent-List'!F160-23000)*'Per-Ft'!$H$19</f>
        <v>7630.464977922625</v>
      </c>
      <c r="N160" s="326">
        <f t="shared" si="7"/>
        <v>7884.637952922626</v>
      </c>
      <c r="P160" s="292"/>
      <c r="Q160" s="105"/>
      <c r="R160" s="107"/>
      <c r="S160" s="285"/>
      <c r="T160" s="593"/>
      <c r="U160" s="607"/>
      <c r="V160" s="463"/>
      <c r="W160" s="316"/>
      <c r="X160" s="316"/>
      <c r="Y160" s="108"/>
      <c r="Z160" s="108"/>
      <c r="AA160" s="108"/>
      <c r="AB160" s="108"/>
      <c r="AC160" s="108"/>
      <c r="AD160" s="132">
        <f t="shared" si="6"/>
        <v>7884.637952922626</v>
      </c>
      <c r="AE160" s="12"/>
      <c r="AF160" s="12"/>
      <c r="AG160" s="12"/>
      <c r="AH160" s="12"/>
    </row>
    <row r="161" spans="1:34" ht="15.75">
      <c r="A161" s="165" t="s">
        <v>177</v>
      </c>
      <c r="B161" s="166">
        <v>534</v>
      </c>
      <c r="C161" s="166">
        <v>2112</v>
      </c>
      <c r="D161" s="167" t="s">
        <v>295</v>
      </c>
      <c r="E161" s="166">
        <v>114</v>
      </c>
      <c r="F161" s="168">
        <v>23582</v>
      </c>
      <c r="G161" s="166">
        <v>3</v>
      </c>
      <c r="H161" s="169">
        <f>'Per-Ft'!$L$19</f>
        <v>508.3459499999999</v>
      </c>
      <c r="I161" s="170">
        <v>0</v>
      </c>
      <c r="J161" s="170">
        <v>0</v>
      </c>
      <c r="K161" s="170">
        <v>0</v>
      </c>
      <c r="L161" s="171"/>
      <c r="M161" s="536">
        <f>'Per-Ft'!$J$18+('Rent-List'!F161-23000)*'Per-Ft'!$H$19</f>
        <v>7631.199436151184</v>
      </c>
      <c r="N161" s="326">
        <f t="shared" si="7"/>
        <v>8139.545386151184</v>
      </c>
      <c r="O161" s="181"/>
      <c r="P161" s="295"/>
      <c r="Q161" s="180"/>
      <c r="R161" s="182"/>
      <c r="S161" s="287"/>
      <c r="T161" s="184"/>
      <c r="U161" s="183"/>
      <c r="V161" s="397"/>
      <c r="W161" s="318"/>
      <c r="X161" s="318"/>
      <c r="Y161" s="183"/>
      <c r="Z161" s="183"/>
      <c r="AA161" s="183"/>
      <c r="AB161" s="183"/>
      <c r="AC161" s="183"/>
      <c r="AD161" s="185">
        <f t="shared" si="6"/>
        <v>8139.545386151184</v>
      </c>
      <c r="AE161" s="12"/>
      <c r="AF161" s="12"/>
      <c r="AG161" s="12"/>
      <c r="AH161" s="12"/>
    </row>
    <row r="162" spans="2:34" ht="15.75">
      <c r="B162" s="147">
        <v>679</v>
      </c>
      <c r="C162" s="147">
        <v>2325</v>
      </c>
      <c r="D162" s="148" t="s">
        <v>279</v>
      </c>
      <c r="E162" s="147">
        <v>79</v>
      </c>
      <c r="F162" s="149">
        <v>23692</v>
      </c>
      <c r="G162" s="147">
        <v>1</v>
      </c>
      <c r="H162" s="150">
        <f>'Per-Ft'!$L$19</f>
        <v>508.3459499999999</v>
      </c>
      <c r="I162" s="130">
        <f>'Per-Ft'!$L$16</f>
        <v>254.17297500000132</v>
      </c>
      <c r="J162" s="151">
        <v>0</v>
      </c>
      <c r="K162" s="151">
        <v>0</v>
      </c>
      <c r="L162" s="131"/>
      <c r="M162" s="342">
        <f>'Per-Ft'!$J$18+('Rent-List'!F162-23000)*'Per-Ft'!$H$19</f>
        <v>7634.084807763385</v>
      </c>
      <c r="N162" s="326">
        <f t="shared" si="7"/>
        <v>8396.603732763386</v>
      </c>
      <c r="P162" s="292"/>
      <c r="Q162" s="105"/>
      <c r="R162" s="107"/>
      <c r="S162" s="285"/>
      <c r="T162" s="593"/>
      <c r="U162" s="607"/>
      <c r="V162" s="463"/>
      <c r="W162" s="316"/>
      <c r="X162" s="316"/>
      <c r="Y162" s="108"/>
      <c r="Z162" s="108"/>
      <c r="AA162" s="108"/>
      <c r="AB162" s="108"/>
      <c r="AC162" s="108"/>
      <c r="AD162" s="132">
        <f t="shared" si="6"/>
        <v>8396.603732763386</v>
      </c>
      <c r="AE162" s="12"/>
      <c r="AF162" s="12"/>
      <c r="AG162" s="12"/>
      <c r="AH162" s="12"/>
    </row>
    <row r="163" spans="2:34" ht="15.75">
      <c r="B163" s="147">
        <v>693</v>
      </c>
      <c r="C163" s="147">
        <v>2309</v>
      </c>
      <c r="D163" s="148" t="s">
        <v>279</v>
      </c>
      <c r="E163" s="147">
        <v>85</v>
      </c>
      <c r="F163" s="149">
        <v>23740</v>
      </c>
      <c r="G163" s="147">
        <v>1</v>
      </c>
      <c r="H163" s="150">
        <v>0</v>
      </c>
      <c r="I163" s="130">
        <f>'Per-Ft'!$L$16</f>
        <v>254.17297500000132</v>
      </c>
      <c r="J163" s="151">
        <v>0</v>
      </c>
      <c r="K163" s="151">
        <v>0</v>
      </c>
      <c r="L163" s="131"/>
      <c r="M163" s="342">
        <f>'Per-Ft'!$J$18+('Rent-List'!F163-23000)*'Per-Ft'!$H$19</f>
        <v>7635.343879012345</v>
      </c>
      <c r="N163" s="326">
        <f t="shared" si="7"/>
        <v>7889.516854012346</v>
      </c>
      <c r="P163" s="292"/>
      <c r="Q163" s="105"/>
      <c r="R163" s="107"/>
      <c r="S163" s="285"/>
      <c r="T163" s="593"/>
      <c r="U163" s="607"/>
      <c r="V163" s="463"/>
      <c r="W163" s="316"/>
      <c r="X163" s="316"/>
      <c r="Y163" s="108"/>
      <c r="Z163" s="108"/>
      <c r="AA163" s="108"/>
      <c r="AB163" s="108"/>
      <c r="AC163" s="108"/>
      <c r="AD163" s="132">
        <f t="shared" si="6"/>
        <v>7889.516854012346</v>
      </c>
      <c r="AE163" s="12"/>
      <c r="AF163" s="12"/>
      <c r="AG163" s="12"/>
      <c r="AH163" s="12"/>
    </row>
    <row r="164" spans="2:34" ht="15.75">
      <c r="B164" s="147">
        <v>674</v>
      </c>
      <c r="C164" s="147">
        <v>1801</v>
      </c>
      <c r="D164" s="148" t="s">
        <v>342</v>
      </c>
      <c r="E164" s="147">
        <v>76</v>
      </c>
      <c r="F164" s="149">
        <v>24083</v>
      </c>
      <c r="G164" s="147">
        <v>2</v>
      </c>
      <c r="H164" s="150">
        <f>'Per-Ft'!$L$19</f>
        <v>508.3459499999999</v>
      </c>
      <c r="I164" s="130">
        <f>'Per-Ft'!$L$16*0.84</f>
        <v>213.5052990000011</v>
      </c>
      <c r="J164" s="151">
        <v>0</v>
      </c>
      <c r="K164" s="151">
        <v>0</v>
      </c>
      <c r="L164" s="131"/>
      <c r="M164" s="342">
        <f>'Per-Ft'!$J$19+('Rent-List'!F164-24000)*'Per-Ft'!$H$20</f>
        <v>7643.936954884377</v>
      </c>
      <c r="N164" s="326">
        <f t="shared" si="7"/>
        <v>8365.788203884378</v>
      </c>
      <c r="P164" s="292"/>
      <c r="Q164" s="105"/>
      <c r="R164" s="107"/>
      <c r="S164" s="285"/>
      <c r="T164" s="593"/>
      <c r="U164" s="607"/>
      <c r="V164" s="463"/>
      <c r="W164" s="316"/>
      <c r="X164" s="316"/>
      <c r="Y164" s="108"/>
      <c r="Z164" s="108"/>
      <c r="AA164" s="108"/>
      <c r="AB164" s="108"/>
      <c r="AC164" s="108"/>
      <c r="AD164" s="132">
        <f t="shared" si="6"/>
        <v>8365.788203884378</v>
      </c>
      <c r="AE164" s="12"/>
      <c r="AF164" s="12"/>
      <c r="AG164" s="12"/>
      <c r="AH164" s="12"/>
    </row>
    <row r="165" spans="2:34" ht="15.75">
      <c r="B165" s="147">
        <v>584</v>
      </c>
      <c r="C165" s="147">
        <v>2205</v>
      </c>
      <c r="D165" s="148" t="s">
        <v>153</v>
      </c>
      <c r="E165" s="147" t="s">
        <v>60</v>
      </c>
      <c r="F165" s="149">
        <v>24163</v>
      </c>
      <c r="G165" s="147">
        <v>1</v>
      </c>
      <c r="H165" s="150">
        <v>0</v>
      </c>
      <c r="I165" s="151">
        <v>0</v>
      </c>
      <c r="J165" s="151">
        <v>0</v>
      </c>
      <c r="K165" s="151">
        <v>0</v>
      </c>
      <c r="L165" s="131"/>
      <c r="M165" s="342">
        <f>'Per-Ft'!$J$19+('Rent-List'!F165-24000)*'Per-Ft'!$H$20</f>
        <v>7645.6459733006</v>
      </c>
      <c r="N165" s="326">
        <f t="shared" si="7"/>
        <v>7645.6459733006</v>
      </c>
      <c r="P165" s="292"/>
      <c r="Q165" s="105"/>
      <c r="R165" s="107"/>
      <c r="S165" s="285"/>
      <c r="T165" s="593"/>
      <c r="U165" s="607"/>
      <c r="V165" s="463"/>
      <c r="W165" s="316"/>
      <c r="X165" s="316"/>
      <c r="Y165" s="108"/>
      <c r="Z165" s="108"/>
      <c r="AA165" s="108"/>
      <c r="AB165" s="108"/>
      <c r="AC165" s="108"/>
      <c r="AD165" s="132">
        <f t="shared" si="6"/>
        <v>7645.6459733006</v>
      </c>
      <c r="AE165" s="12"/>
      <c r="AF165" s="12"/>
      <c r="AG165" s="12"/>
      <c r="AH165" s="12"/>
    </row>
    <row r="166" spans="2:34" ht="15.75">
      <c r="B166" s="147">
        <v>618</v>
      </c>
      <c r="C166" s="147">
        <v>2302</v>
      </c>
      <c r="D166" s="148" t="s">
        <v>398</v>
      </c>
      <c r="E166" s="147">
        <v>24.75</v>
      </c>
      <c r="F166" s="149">
        <v>24417</v>
      </c>
      <c r="G166" s="147">
        <v>1</v>
      </c>
      <c r="H166" s="150">
        <f>'Per-Ft'!$L$19</f>
        <v>508.3459499999999</v>
      </c>
      <c r="I166" s="151">
        <v>0</v>
      </c>
      <c r="J166" s="151">
        <v>0</v>
      </c>
      <c r="K166" s="151">
        <v>0</v>
      </c>
      <c r="L166" s="131"/>
      <c r="M166" s="342">
        <f>'Per-Ft'!$J$19+('Rent-List'!F166-24000)*'Per-Ft'!$H$20</f>
        <v>7651.0721067721115</v>
      </c>
      <c r="N166" s="326">
        <f t="shared" si="7"/>
        <v>8159.418056772111</v>
      </c>
      <c r="P166" s="292"/>
      <c r="Q166" s="105"/>
      <c r="R166" s="107"/>
      <c r="S166" s="285"/>
      <c r="T166" s="593"/>
      <c r="U166" s="607"/>
      <c r="V166" s="463"/>
      <c r="W166" s="316"/>
      <c r="X166" s="316"/>
      <c r="Y166" s="108"/>
      <c r="Z166" s="108"/>
      <c r="AA166" s="108"/>
      <c r="AB166" s="108"/>
      <c r="AC166" s="108"/>
      <c r="AD166" s="132">
        <f aca="true" t="shared" si="8" ref="AD166:AD182">N166+U166</f>
        <v>8159.418056772111</v>
      </c>
      <c r="AE166" s="12"/>
      <c r="AF166" s="12"/>
      <c r="AG166" s="12"/>
      <c r="AH166" s="12"/>
    </row>
    <row r="167" spans="2:34" ht="15.75">
      <c r="B167" s="147">
        <v>610</v>
      </c>
      <c r="C167" s="147">
        <v>2209</v>
      </c>
      <c r="D167" s="148" t="s">
        <v>398</v>
      </c>
      <c r="E167" s="147">
        <v>17</v>
      </c>
      <c r="F167" s="149">
        <v>24453</v>
      </c>
      <c r="G167" s="147">
        <v>1</v>
      </c>
      <c r="H167" s="150">
        <v>0</v>
      </c>
      <c r="I167" s="151">
        <v>0</v>
      </c>
      <c r="J167" s="151">
        <v>0</v>
      </c>
      <c r="K167" s="151">
        <v>0</v>
      </c>
      <c r="L167" s="131"/>
      <c r="M167" s="342">
        <f>'Per-Ft'!$J$19+('Rent-List'!F167-24000)*'Per-Ft'!$H$20</f>
        <v>7651.841165059413</v>
      </c>
      <c r="N167" s="326">
        <f t="shared" si="7"/>
        <v>7651.841165059413</v>
      </c>
      <c r="P167" s="292"/>
      <c r="Q167" s="105"/>
      <c r="R167" s="107"/>
      <c r="S167" s="285"/>
      <c r="T167" s="593"/>
      <c r="U167" s="607"/>
      <c r="V167" s="463"/>
      <c r="W167" s="316"/>
      <c r="X167" s="316"/>
      <c r="Y167" s="108"/>
      <c r="Z167" s="108"/>
      <c r="AA167" s="108"/>
      <c r="AB167" s="108"/>
      <c r="AC167" s="108"/>
      <c r="AD167" s="132">
        <f t="shared" si="8"/>
        <v>7651.841165059413</v>
      </c>
      <c r="AE167" s="12"/>
      <c r="AF167" s="12"/>
      <c r="AG167" s="12"/>
      <c r="AH167" s="12"/>
    </row>
    <row r="168" spans="2:34" ht="15.75">
      <c r="B168" s="147">
        <v>517</v>
      </c>
      <c r="C168" s="147">
        <v>2112</v>
      </c>
      <c r="D168" s="148" t="s">
        <v>294</v>
      </c>
      <c r="E168" s="147" t="s">
        <v>298</v>
      </c>
      <c r="F168" s="163">
        <v>25091</v>
      </c>
      <c r="G168" s="147">
        <v>1</v>
      </c>
      <c r="H168" s="150">
        <v>0</v>
      </c>
      <c r="I168" s="151">
        <v>0</v>
      </c>
      <c r="J168" s="151">
        <v>0</v>
      </c>
      <c r="K168" s="151">
        <v>0</v>
      </c>
      <c r="L168" s="131"/>
      <c r="M168" s="342">
        <f>'Per-Ft'!$J$20+('Rent-List'!F168-25000)*'Per-Ft'!$H$21</f>
        <v>7665.41415036143</v>
      </c>
      <c r="N168" s="326">
        <f t="shared" si="7"/>
        <v>7665.41415036143</v>
      </c>
      <c r="P168" s="292"/>
      <c r="Q168" s="105"/>
      <c r="R168" s="107"/>
      <c r="S168" s="285"/>
      <c r="T168" s="593"/>
      <c r="U168" s="607"/>
      <c r="V168" s="463"/>
      <c r="W168" s="316"/>
      <c r="X168" s="316"/>
      <c r="Y168" s="108"/>
      <c r="Z168" s="108"/>
      <c r="AA168" s="108"/>
      <c r="AB168" s="108"/>
      <c r="AC168" s="108"/>
      <c r="AD168" s="132">
        <f t="shared" si="8"/>
        <v>7665.41415036143</v>
      </c>
      <c r="AE168" s="12"/>
      <c r="AF168" s="12"/>
      <c r="AG168" s="12"/>
      <c r="AH168" s="12"/>
    </row>
    <row r="169" spans="1:34" ht="15.75">
      <c r="A169" s="192" t="s">
        <v>178</v>
      </c>
      <c r="B169" s="193">
        <v>669</v>
      </c>
      <c r="C169" s="193">
        <v>2326</v>
      </c>
      <c r="D169" s="194" t="s">
        <v>134</v>
      </c>
      <c r="E169" s="193">
        <v>68</v>
      </c>
      <c r="F169" s="308">
        <v>25571</v>
      </c>
      <c r="G169" s="193">
        <v>3</v>
      </c>
      <c r="H169" s="309">
        <v>0</v>
      </c>
      <c r="I169" s="310">
        <v>0</v>
      </c>
      <c r="J169" s="310">
        <v>0</v>
      </c>
      <c r="K169" s="310">
        <v>0</v>
      </c>
      <c r="L169" s="311"/>
      <c r="M169" s="546">
        <f>'Per-Ft'!$J$20+('Rent-List'!F169-25000)*'Per-Ft'!$H$21</f>
        <v>7675.370573470454</v>
      </c>
      <c r="N169" s="326">
        <f t="shared" si="7"/>
        <v>7675.370573470454</v>
      </c>
      <c r="O169" s="195">
        <v>68</v>
      </c>
      <c r="P169" s="312">
        <v>11740</v>
      </c>
      <c r="Q169" s="196" t="s">
        <v>281</v>
      </c>
      <c r="R169" s="313">
        <v>1000</v>
      </c>
      <c r="S169" s="197" t="s">
        <v>7</v>
      </c>
      <c r="T169" s="314">
        <v>1100</v>
      </c>
      <c r="U169" s="337">
        <f>V169-Y169+Z169-AA169-X169-AB169-AC169</f>
        <v>5578.842900000001</v>
      </c>
      <c r="V169" s="400">
        <f>T169*$V$4</f>
        <v>12832.6</v>
      </c>
      <c r="W169" s="320">
        <v>137649</v>
      </c>
      <c r="X169" s="320">
        <v>1200</v>
      </c>
      <c r="Y169" s="198">
        <f>W169*$Y$4</f>
        <v>4129.47</v>
      </c>
      <c r="Z169" s="198">
        <f>W169*$Z$4</f>
        <v>2340.0330000000004</v>
      </c>
      <c r="AA169" s="198">
        <f>W169*$AA$4</f>
        <v>2202.384</v>
      </c>
      <c r="AB169" s="320">
        <f>W169*$AB$4</f>
        <v>412.947</v>
      </c>
      <c r="AC169" s="400">
        <f>V169*$AC$4</f>
        <v>1648.9891</v>
      </c>
      <c r="AD169" s="199">
        <f t="shared" si="8"/>
        <v>13254.213473470454</v>
      </c>
      <c r="AE169" s="12"/>
      <c r="AF169" s="12"/>
      <c r="AG169" s="12"/>
      <c r="AH169" s="12"/>
    </row>
    <row r="170" spans="2:34" ht="15.75">
      <c r="B170" s="147">
        <v>590</v>
      </c>
      <c r="C170" s="147">
        <v>2202</v>
      </c>
      <c r="D170" s="148" t="s">
        <v>398</v>
      </c>
      <c r="E170" s="147">
        <v>29</v>
      </c>
      <c r="F170" s="149">
        <v>25901</v>
      </c>
      <c r="G170" s="147">
        <v>1</v>
      </c>
      <c r="H170" s="150">
        <v>0</v>
      </c>
      <c r="I170" s="151">
        <v>0</v>
      </c>
      <c r="J170" s="130">
        <f>'Per-Ft'!$L$13</f>
        <v>254.1729750000004</v>
      </c>
      <c r="K170" s="151">
        <v>0</v>
      </c>
      <c r="L170" s="131"/>
      <c r="M170" s="342">
        <f>'Per-Ft'!$J$20+('Rent-List'!F170-25000)*'Per-Ft'!$H$21</f>
        <v>7682.215614357908</v>
      </c>
      <c r="N170" s="326">
        <f t="shared" si="7"/>
        <v>7428.042639357907</v>
      </c>
      <c r="P170" s="292"/>
      <c r="Q170" s="105"/>
      <c r="R170" s="107"/>
      <c r="S170" s="285"/>
      <c r="T170" s="593"/>
      <c r="U170" s="607"/>
      <c r="V170" s="463"/>
      <c r="W170" s="316"/>
      <c r="X170" s="316"/>
      <c r="Y170" s="108"/>
      <c r="Z170" s="108"/>
      <c r="AA170" s="108"/>
      <c r="AB170" s="108"/>
      <c r="AC170" s="108"/>
      <c r="AD170" s="132">
        <f t="shared" si="8"/>
        <v>7428.042639357907</v>
      </c>
      <c r="AE170" s="12"/>
      <c r="AF170" s="12"/>
      <c r="AG170" s="12"/>
      <c r="AH170" s="12"/>
    </row>
    <row r="171" spans="2:34" ht="15.75">
      <c r="B171" s="147">
        <v>528</v>
      </c>
      <c r="C171" s="147">
        <v>1908</v>
      </c>
      <c r="D171" s="148" t="s">
        <v>294</v>
      </c>
      <c r="E171" s="147">
        <v>109</v>
      </c>
      <c r="F171" s="149">
        <v>26280</v>
      </c>
      <c r="G171" s="147">
        <v>1</v>
      </c>
      <c r="H171" s="150">
        <f>'Per-Ft'!$L$19</f>
        <v>508.3459499999999</v>
      </c>
      <c r="I171" s="151">
        <v>0</v>
      </c>
      <c r="J171" s="151">
        <v>0</v>
      </c>
      <c r="K171" s="151">
        <v>0</v>
      </c>
      <c r="L171" s="131"/>
      <c r="M171" s="342">
        <f>'Per-Ft'!$J$21+('Rent-List'!F171-26000)*'Per-Ft'!$H$22</f>
        <v>7690.0195360105445</v>
      </c>
      <c r="N171" s="326">
        <f t="shared" si="7"/>
        <v>8198.365486010545</v>
      </c>
      <c r="P171" s="292"/>
      <c r="Q171" s="105"/>
      <c r="R171" s="107"/>
      <c r="S171" s="285"/>
      <c r="T171" s="593"/>
      <c r="U171" s="607"/>
      <c r="V171" s="463"/>
      <c r="W171" s="316"/>
      <c r="X171" s="316"/>
      <c r="Y171" s="108"/>
      <c r="Z171" s="108"/>
      <c r="AA171" s="108"/>
      <c r="AB171" s="108"/>
      <c r="AC171" s="108"/>
      <c r="AD171" s="132">
        <f t="shared" si="8"/>
        <v>8198.365486010545</v>
      </c>
      <c r="AE171" s="12"/>
      <c r="AF171" s="12"/>
      <c r="AG171" s="12"/>
      <c r="AH171" s="12"/>
    </row>
    <row r="172" spans="2:34" ht="15.75">
      <c r="B172" s="147">
        <v>552</v>
      </c>
      <c r="C172" s="147">
        <v>2123</v>
      </c>
      <c r="D172" s="148" t="s">
        <v>295</v>
      </c>
      <c r="E172" s="147">
        <v>119</v>
      </c>
      <c r="F172" s="149">
        <v>26540</v>
      </c>
      <c r="G172" s="147">
        <v>1</v>
      </c>
      <c r="H172" s="150">
        <v>0</v>
      </c>
      <c r="I172" s="151">
        <v>0</v>
      </c>
      <c r="J172" s="151">
        <v>0</v>
      </c>
      <c r="K172" s="151">
        <v>0</v>
      </c>
      <c r="L172" s="131"/>
      <c r="M172" s="342">
        <f>'Per-Ft'!$J$21+('Rent-List'!F172-26000)*'Per-Ft'!$H$22</f>
        <v>7695.359201869344</v>
      </c>
      <c r="N172" s="326">
        <f t="shared" si="7"/>
        <v>7695.359201869344</v>
      </c>
      <c r="P172" s="292"/>
      <c r="Q172" s="105"/>
      <c r="R172" s="107"/>
      <c r="S172" s="285"/>
      <c r="T172" s="593"/>
      <c r="U172" s="607"/>
      <c r="V172" s="463"/>
      <c r="W172" s="316"/>
      <c r="X172" s="316"/>
      <c r="Y172" s="108"/>
      <c r="Z172" s="108"/>
      <c r="AA172" s="108"/>
      <c r="AB172" s="108"/>
      <c r="AC172" s="108"/>
      <c r="AD172" s="132">
        <f t="shared" si="8"/>
        <v>7695.359201869344</v>
      </c>
      <c r="AE172" s="12"/>
      <c r="AF172" s="12"/>
      <c r="AG172" s="12"/>
      <c r="AH172" s="12"/>
    </row>
    <row r="173" spans="2:34" ht="15.75">
      <c r="B173" s="147">
        <v>630</v>
      </c>
      <c r="C173" s="147">
        <v>1900</v>
      </c>
      <c r="D173" s="148" t="s">
        <v>164</v>
      </c>
      <c r="E173" s="147">
        <v>40</v>
      </c>
      <c r="F173" s="149">
        <v>26732</v>
      </c>
      <c r="G173" s="147">
        <v>1</v>
      </c>
      <c r="H173" s="150">
        <v>0</v>
      </c>
      <c r="I173" s="151">
        <v>0</v>
      </c>
      <c r="J173" s="151">
        <v>0</v>
      </c>
      <c r="K173" s="151">
        <v>0</v>
      </c>
      <c r="L173" s="131"/>
      <c r="M173" s="342">
        <f>'Per-Ft'!$J$21+('Rent-List'!F173-26000)*'Per-Ft'!$H$22</f>
        <v>7699.302339734305</v>
      </c>
      <c r="N173" s="326">
        <f t="shared" si="7"/>
        <v>7699.302339734305</v>
      </c>
      <c r="P173" s="292"/>
      <c r="Q173" s="105"/>
      <c r="R173" s="107"/>
      <c r="S173" s="285"/>
      <c r="T173" s="593"/>
      <c r="U173" s="607"/>
      <c r="V173" s="463"/>
      <c r="W173" s="316"/>
      <c r="X173" s="316"/>
      <c r="Y173" s="108"/>
      <c r="Z173" s="108"/>
      <c r="AA173" s="108"/>
      <c r="AB173" s="108"/>
      <c r="AC173" s="108"/>
      <c r="AD173" s="132">
        <f t="shared" si="8"/>
        <v>7699.302339734305</v>
      </c>
      <c r="AE173" s="12"/>
      <c r="AF173" s="12"/>
      <c r="AG173" s="12"/>
      <c r="AH173" s="12"/>
    </row>
    <row r="174" spans="2:34" ht="15.75">
      <c r="B174" s="147">
        <v>525</v>
      </c>
      <c r="C174" s="147">
        <v>2002</v>
      </c>
      <c r="D174" s="148" t="s">
        <v>294</v>
      </c>
      <c r="E174" s="147">
        <v>106</v>
      </c>
      <c r="F174" s="149">
        <v>27000</v>
      </c>
      <c r="G174" s="147">
        <v>1</v>
      </c>
      <c r="H174" s="150">
        <f>'Per-Ft'!$L$19</f>
        <v>508.3459499999999</v>
      </c>
      <c r="I174" s="151">
        <v>0</v>
      </c>
      <c r="J174" s="151">
        <v>0</v>
      </c>
      <c r="K174" s="151">
        <v>0</v>
      </c>
      <c r="L174" s="131"/>
      <c r="M174" s="342">
        <f>'Per-Ft'!$J$22+('Rent-List'!F174-27000)*'Per-Ft'!$H$23</f>
        <v>7704.806303004145</v>
      </c>
      <c r="N174" s="326">
        <f t="shared" si="7"/>
        <v>8213.152253004144</v>
      </c>
      <c r="P174" s="292"/>
      <c r="Q174" s="105"/>
      <c r="R174" s="107"/>
      <c r="S174" s="285"/>
      <c r="T174" s="593"/>
      <c r="U174" s="607"/>
      <c r="V174" s="463"/>
      <c r="W174" s="316"/>
      <c r="X174" s="316"/>
      <c r="Y174" s="108"/>
      <c r="Z174" s="108"/>
      <c r="AA174" s="108"/>
      <c r="AB174" s="108"/>
      <c r="AC174" s="108"/>
      <c r="AD174" s="132">
        <f t="shared" si="8"/>
        <v>8213.152253004144</v>
      </c>
      <c r="AE174" s="12"/>
      <c r="AF174" s="12"/>
      <c r="AG174" s="12"/>
      <c r="AH174" s="12"/>
    </row>
    <row r="175" spans="2:34" ht="15.75">
      <c r="B175" s="147">
        <v>637</v>
      </c>
      <c r="C175" s="147">
        <v>2203</v>
      </c>
      <c r="D175" s="148" t="s">
        <v>180</v>
      </c>
      <c r="E175" s="147">
        <v>48</v>
      </c>
      <c r="F175" s="149">
        <v>27360</v>
      </c>
      <c r="G175" s="147">
        <v>1</v>
      </c>
      <c r="H175" s="150">
        <v>0</v>
      </c>
      <c r="I175" s="130">
        <f>'Per-Ft'!$L$16*0.36</f>
        <v>91.50227100000048</v>
      </c>
      <c r="J175" s="130">
        <f>'Per-Ft'!$L$13</f>
        <v>254.1729750000004</v>
      </c>
      <c r="K175" s="151">
        <v>0</v>
      </c>
      <c r="L175" s="131"/>
      <c r="M175" s="342">
        <f>'Per-Ft'!$J$22+('Rent-List'!F175-27000)*'Per-Ft'!$H$23</f>
        <v>7712.126484684145</v>
      </c>
      <c r="N175" s="326">
        <f t="shared" si="7"/>
        <v>7549.455780684145</v>
      </c>
      <c r="P175" s="292"/>
      <c r="Q175" s="105"/>
      <c r="R175" s="107"/>
      <c r="S175" s="285"/>
      <c r="T175" s="593"/>
      <c r="U175" s="607"/>
      <c r="V175" s="463"/>
      <c r="W175" s="316"/>
      <c r="X175" s="316"/>
      <c r="Y175" s="108"/>
      <c r="Z175" s="108"/>
      <c r="AA175" s="108"/>
      <c r="AB175" s="108"/>
      <c r="AC175" s="108"/>
      <c r="AD175" s="132">
        <f t="shared" si="8"/>
        <v>7549.455780684145</v>
      </c>
      <c r="AE175" s="12"/>
      <c r="AF175" s="12"/>
      <c r="AG175" s="12"/>
      <c r="AH175" s="12"/>
    </row>
    <row r="176" spans="2:34" ht="15.75">
      <c r="B176" s="147">
        <v>521</v>
      </c>
      <c r="C176" s="147">
        <v>2107</v>
      </c>
      <c r="D176" s="148" t="s">
        <v>398</v>
      </c>
      <c r="E176" s="147">
        <v>93</v>
      </c>
      <c r="F176" s="149">
        <v>28164</v>
      </c>
      <c r="G176" s="147">
        <v>1</v>
      </c>
      <c r="H176" s="150">
        <f>'Per-Ft'!$L$19</f>
        <v>508.3459499999999</v>
      </c>
      <c r="I176" s="151">
        <v>0</v>
      </c>
      <c r="J176" s="151">
        <v>0</v>
      </c>
      <c r="K176" s="151">
        <v>0</v>
      </c>
      <c r="L176" s="131"/>
      <c r="M176" s="342">
        <f>'Per-Ft'!$J$23+('Rent-List'!F176-28000)*'Per-Ft'!$H$24</f>
        <v>7728.441542941825</v>
      </c>
      <c r="N176" s="326">
        <f t="shared" si="7"/>
        <v>8236.787492941825</v>
      </c>
      <c r="P176" s="292"/>
      <c r="Q176" s="105"/>
      <c r="R176" s="107"/>
      <c r="S176" s="285"/>
      <c r="T176" s="593"/>
      <c r="U176" s="607"/>
      <c r="V176" s="463"/>
      <c r="W176" s="316"/>
      <c r="X176" s="316"/>
      <c r="Y176" s="108"/>
      <c r="Z176" s="108"/>
      <c r="AA176" s="108"/>
      <c r="AB176" s="108"/>
      <c r="AC176" s="108"/>
      <c r="AD176" s="132">
        <f t="shared" si="8"/>
        <v>8236.787492941825</v>
      </c>
      <c r="AE176" s="12"/>
      <c r="AF176" s="12"/>
      <c r="AG176" s="12"/>
      <c r="AH176" s="12"/>
    </row>
    <row r="177" spans="2:34" ht="15.75">
      <c r="B177" s="147">
        <v>526</v>
      </c>
      <c r="C177" s="147">
        <v>1916</v>
      </c>
      <c r="D177" s="148" t="s">
        <v>294</v>
      </c>
      <c r="E177" s="147">
        <v>107</v>
      </c>
      <c r="F177" s="149">
        <v>28961</v>
      </c>
      <c r="G177" s="147">
        <v>1</v>
      </c>
      <c r="H177" s="150">
        <f>'Per-Ft'!$L$19</f>
        <v>508.3459499999999</v>
      </c>
      <c r="I177" s="151">
        <v>0</v>
      </c>
      <c r="J177" s="151">
        <v>0</v>
      </c>
      <c r="K177" s="151">
        <v>0</v>
      </c>
      <c r="L177" s="131"/>
      <c r="M177" s="342">
        <f>'Per-Ft'!$J$23+('Rent-List'!F177-28000)*'Per-Ft'!$H$24</f>
        <v>7744.485551138965</v>
      </c>
      <c r="N177" s="326">
        <f t="shared" si="7"/>
        <v>8252.831501138964</v>
      </c>
      <c r="P177" s="292"/>
      <c r="Q177" s="105"/>
      <c r="R177" s="107"/>
      <c r="S177" s="285"/>
      <c r="T177" s="593"/>
      <c r="U177" s="607"/>
      <c r="V177" s="463"/>
      <c r="W177" s="316"/>
      <c r="X177" s="316"/>
      <c r="Y177" s="108"/>
      <c r="Z177" s="108"/>
      <c r="AA177" s="108"/>
      <c r="AB177" s="108"/>
      <c r="AC177" s="108"/>
      <c r="AD177" s="132">
        <f t="shared" si="8"/>
        <v>8252.831501138964</v>
      </c>
      <c r="AE177" s="12"/>
      <c r="AF177" s="12"/>
      <c r="AG177" s="12"/>
      <c r="AH177" s="12"/>
    </row>
    <row r="178" spans="2:34" ht="15.75">
      <c r="B178" s="147">
        <v>549</v>
      </c>
      <c r="C178" s="147">
        <v>2110</v>
      </c>
      <c r="D178" s="148" t="s">
        <v>68</v>
      </c>
      <c r="E178" s="147">
        <v>134</v>
      </c>
      <c r="F178" s="149">
        <v>29270</v>
      </c>
      <c r="G178" s="147">
        <v>2</v>
      </c>
      <c r="H178" s="150">
        <v>0</v>
      </c>
      <c r="I178" s="151">
        <v>0</v>
      </c>
      <c r="J178" s="130">
        <f>'Per-Ft'!$L$13</f>
        <v>254.1729750000004</v>
      </c>
      <c r="K178" s="151">
        <v>0</v>
      </c>
      <c r="L178" s="131"/>
      <c r="M178" s="342">
        <f>'Per-Ft'!$J$24+('Rent-List'!F178-29000)*'Per-Ft'!$H$25</f>
        <v>7750.650425145319</v>
      </c>
      <c r="N178" s="326">
        <f t="shared" si="7"/>
        <v>7496.4774501453185</v>
      </c>
      <c r="P178" s="292"/>
      <c r="Q178" s="105"/>
      <c r="R178" s="107"/>
      <c r="S178" s="285"/>
      <c r="T178" s="593"/>
      <c r="U178" s="607"/>
      <c r="V178" s="463"/>
      <c r="W178" s="316"/>
      <c r="X178" s="316"/>
      <c r="Y178" s="108"/>
      <c r="Z178" s="108"/>
      <c r="AA178" s="108"/>
      <c r="AB178" s="108"/>
      <c r="AC178" s="108"/>
      <c r="AD178" s="132">
        <f t="shared" si="8"/>
        <v>7496.4774501453185</v>
      </c>
      <c r="AE178" s="12"/>
      <c r="AF178" s="12"/>
      <c r="AG178" s="12"/>
      <c r="AH178" s="12"/>
    </row>
    <row r="179" spans="2:34" ht="15.75">
      <c r="B179" s="147">
        <v>628</v>
      </c>
      <c r="C179" s="147">
        <v>2201</v>
      </c>
      <c r="D179" s="148" t="s">
        <v>68</v>
      </c>
      <c r="E179" s="147">
        <v>43</v>
      </c>
      <c r="F179" s="149">
        <v>29910</v>
      </c>
      <c r="G179" s="569">
        <v>1</v>
      </c>
      <c r="H179" s="150">
        <v>0</v>
      </c>
      <c r="I179" s="151">
        <v>0</v>
      </c>
      <c r="J179" s="130">
        <f>'Per-Ft'!$L$13</f>
        <v>254.1729750000004</v>
      </c>
      <c r="K179" s="151">
        <v>0</v>
      </c>
      <c r="L179" s="131"/>
      <c r="M179" s="342">
        <f>'Per-Ft'!$J$24+('Rent-List'!F179-29000)*'Per-Ft'!$H$25</f>
        <v>7763.402506973287</v>
      </c>
      <c r="N179" s="326">
        <f t="shared" si="7"/>
        <v>7509.229531973287</v>
      </c>
      <c r="P179" s="292"/>
      <c r="Q179" s="105"/>
      <c r="R179" s="107"/>
      <c r="S179" s="285"/>
      <c r="T179" s="593"/>
      <c r="U179" s="607"/>
      <c r="V179" s="463"/>
      <c r="W179" s="316"/>
      <c r="X179" s="316"/>
      <c r="Y179" s="108"/>
      <c r="Z179" s="108"/>
      <c r="AA179" s="108"/>
      <c r="AB179" s="108"/>
      <c r="AC179" s="108"/>
      <c r="AD179" s="132">
        <f t="shared" si="8"/>
        <v>7509.229531973287</v>
      </c>
      <c r="AE179" s="12"/>
      <c r="AF179" s="12"/>
      <c r="AG179" s="12"/>
      <c r="AH179" s="12"/>
    </row>
    <row r="180" spans="2:34" ht="15.75">
      <c r="B180" s="147">
        <v>601</v>
      </c>
      <c r="C180" s="147">
        <v>2215</v>
      </c>
      <c r="D180" s="148" t="s">
        <v>55</v>
      </c>
      <c r="E180" s="147" t="s">
        <v>8</v>
      </c>
      <c r="F180" s="149">
        <v>30000</v>
      </c>
      <c r="G180" s="147">
        <v>2</v>
      </c>
      <c r="H180" s="150">
        <v>0</v>
      </c>
      <c r="I180" s="151">
        <v>0</v>
      </c>
      <c r="J180" s="130">
        <f>'Per-Ft'!$L$13</f>
        <v>254.1729750000004</v>
      </c>
      <c r="K180" s="151">
        <v>0</v>
      </c>
      <c r="L180" s="131"/>
      <c r="M180" s="342">
        <f>'Per-Ft'!$J$25+('Rent-List'!F180-30000)*'Per-Ft'!$H$26</f>
        <v>7765.195768480345</v>
      </c>
      <c r="N180" s="326">
        <f t="shared" si="7"/>
        <v>7511.022793480344</v>
      </c>
      <c r="P180" s="292"/>
      <c r="Q180" s="105"/>
      <c r="R180" s="107"/>
      <c r="S180" s="285"/>
      <c r="T180" s="593"/>
      <c r="U180" s="607"/>
      <c r="V180" s="463"/>
      <c r="W180" s="316"/>
      <c r="X180" s="316"/>
      <c r="Y180" s="108"/>
      <c r="Z180" s="108"/>
      <c r="AA180" s="108"/>
      <c r="AB180" s="108"/>
      <c r="AC180" s="108"/>
      <c r="AD180" s="132">
        <f t="shared" si="8"/>
        <v>7511.022793480344</v>
      </c>
      <c r="AE180" s="12"/>
      <c r="AF180" s="12"/>
      <c r="AG180" s="12"/>
      <c r="AH180" s="12"/>
    </row>
    <row r="181" spans="2:34" ht="15.75">
      <c r="B181" s="147">
        <v>680</v>
      </c>
      <c r="C181" s="147">
        <v>2321</v>
      </c>
      <c r="D181" s="148" t="s">
        <v>279</v>
      </c>
      <c r="E181" s="147">
        <v>80</v>
      </c>
      <c r="F181" s="149">
        <v>30240</v>
      </c>
      <c r="G181" s="147">
        <v>1</v>
      </c>
      <c r="H181" s="150">
        <f>'Per-Ft'!$L$19</f>
        <v>508.3459499999999</v>
      </c>
      <c r="I181" s="130">
        <f>'Per-Ft'!$L$16</f>
        <v>254.17297500000132</v>
      </c>
      <c r="J181" s="151">
        <v>0</v>
      </c>
      <c r="K181" s="151">
        <v>0</v>
      </c>
      <c r="L181" s="131"/>
      <c r="M181" s="342">
        <f>'Per-Ft'!$J$25+('Rent-List'!F181-30000)*'Per-Ft'!$H$26</f>
        <v>7765.195768480345</v>
      </c>
      <c r="N181" s="326">
        <f t="shared" si="7"/>
        <v>8527.714693480346</v>
      </c>
      <c r="P181" s="292"/>
      <c r="Q181" s="105"/>
      <c r="R181" s="107"/>
      <c r="S181" s="285"/>
      <c r="T181" s="593"/>
      <c r="U181" s="607"/>
      <c r="V181" s="463"/>
      <c r="W181" s="316"/>
      <c r="X181" s="316"/>
      <c r="Y181" s="108"/>
      <c r="Z181" s="108"/>
      <c r="AA181" s="108"/>
      <c r="AB181" s="108"/>
      <c r="AC181" s="108"/>
      <c r="AD181" s="132">
        <f t="shared" si="8"/>
        <v>8527.714693480346</v>
      </c>
      <c r="AE181" s="12"/>
      <c r="AF181" s="12"/>
      <c r="AG181" s="12"/>
      <c r="AH181" s="12"/>
    </row>
    <row r="182" spans="1:34" ht="15.75">
      <c r="A182" s="153"/>
      <c r="B182" s="147">
        <v>673</v>
      </c>
      <c r="C182" s="147">
        <v>1709</v>
      </c>
      <c r="D182" s="148" t="s">
        <v>342</v>
      </c>
      <c r="E182" s="147">
        <v>71</v>
      </c>
      <c r="F182" s="149">
        <v>30351</v>
      </c>
      <c r="G182" s="147">
        <v>1</v>
      </c>
      <c r="H182" s="150">
        <f>'Per-Ft'!$L$19</f>
        <v>508.3459499999999</v>
      </c>
      <c r="I182" s="151">
        <v>0</v>
      </c>
      <c r="J182" s="151">
        <v>0</v>
      </c>
      <c r="K182" s="151">
        <v>0</v>
      </c>
      <c r="L182" s="131"/>
      <c r="M182" s="342">
        <f>'Per-Ft'!$J$25+('Rent-List'!F182-30000)*'Per-Ft'!$H$26</f>
        <v>7765.195768480345</v>
      </c>
      <c r="N182" s="326">
        <f t="shared" si="7"/>
        <v>8273.541718480345</v>
      </c>
      <c r="P182" s="292"/>
      <c r="Q182" s="105"/>
      <c r="R182" s="107"/>
      <c r="S182" s="285"/>
      <c r="T182" s="593"/>
      <c r="U182" s="607"/>
      <c r="V182" s="463"/>
      <c r="W182" s="316"/>
      <c r="X182" s="316"/>
      <c r="Y182" s="108"/>
      <c r="Z182" s="108"/>
      <c r="AA182" s="108"/>
      <c r="AB182" s="108"/>
      <c r="AC182" s="108"/>
      <c r="AD182" s="132">
        <f t="shared" si="8"/>
        <v>8273.541718480345</v>
      </c>
      <c r="AE182" s="12"/>
      <c r="AF182" s="12"/>
      <c r="AG182" s="12"/>
      <c r="AH182" s="12"/>
    </row>
    <row r="183" spans="1:34" ht="15.75">
      <c r="A183" s="165" t="s">
        <v>27</v>
      </c>
      <c r="B183" s="166">
        <v>620</v>
      </c>
      <c r="C183" s="166">
        <v>2007</v>
      </c>
      <c r="D183" s="167" t="s">
        <v>164</v>
      </c>
      <c r="E183" s="166">
        <v>24</v>
      </c>
      <c r="F183" s="168">
        <v>30476</v>
      </c>
      <c r="G183" s="166">
        <v>3</v>
      </c>
      <c r="H183" s="169">
        <f>'Per-Ft'!$L$19</f>
        <v>508.3459499999999</v>
      </c>
      <c r="I183" s="170">
        <v>0</v>
      </c>
      <c r="J183" s="170">
        <v>0</v>
      </c>
      <c r="K183" s="170">
        <v>0</v>
      </c>
      <c r="L183" s="171"/>
      <c r="M183" s="536">
        <f>'Per-Ft'!$J$25+('Rent-List'!F183-30000)*'Per-Ft'!$H$26</f>
        <v>7765.195768480345</v>
      </c>
      <c r="N183" s="326">
        <f t="shared" si="7"/>
        <v>8273.541718480345</v>
      </c>
      <c r="O183" s="181"/>
      <c r="P183" s="295"/>
      <c r="Q183" s="180"/>
      <c r="R183" s="182"/>
      <c r="S183" s="287"/>
      <c r="T183" s="184"/>
      <c r="U183" s="183"/>
      <c r="V183" s="397"/>
      <c r="W183" s="318"/>
      <c r="X183" s="318"/>
      <c r="Y183" s="183"/>
      <c r="Z183" s="183"/>
      <c r="AA183" s="183"/>
      <c r="AB183" s="183"/>
      <c r="AC183" s="183"/>
      <c r="AD183" s="185"/>
      <c r="AE183" s="12"/>
      <c r="AF183" s="12"/>
      <c r="AG183" s="12"/>
      <c r="AH183" s="12"/>
    </row>
    <row r="184" spans="1:34" ht="15.75">
      <c r="A184" s="135" t="s">
        <v>144</v>
      </c>
      <c r="B184" s="136">
        <v>631</v>
      </c>
      <c r="C184" s="136">
        <v>1816</v>
      </c>
      <c r="D184" s="137" t="s">
        <v>164</v>
      </c>
      <c r="E184" s="136">
        <v>45</v>
      </c>
      <c r="F184" s="138">
        <v>30652</v>
      </c>
      <c r="G184" s="568">
        <v>1</v>
      </c>
      <c r="H184" s="139">
        <v>0</v>
      </c>
      <c r="I184" s="140">
        <v>0</v>
      </c>
      <c r="J184" s="140">
        <v>0</v>
      </c>
      <c r="K184" s="140">
        <v>0</v>
      </c>
      <c r="L184" s="141"/>
      <c r="M184" s="537">
        <f>'Per-Ft'!$J$25+('Rent-List'!F184-30000)*'Per-Ft'!$H$26</f>
        <v>7765.195768480345</v>
      </c>
      <c r="N184" s="326">
        <f t="shared" si="7"/>
        <v>7765.195768480345</v>
      </c>
      <c r="O184" s="142">
        <v>45</v>
      </c>
      <c r="P184" s="307">
        <v>12098</v>
      </c>
      <c r="Q184" s="143" t="s">
        <v>53</v>
      </c>
      <c r="R184" s="144">
        <v>990</v>
      </c>
      <c r="S184" s="154" t="s">
        <v>331</v>
      </c>
      <c r="T184" s="145">
        <v>975</v>
      </c>
      <c r="U184" s="155">
        <f>V184-Y184+Z184-AA184-AB184-AC184</f>
        <v>5762.602024999999</v>
      </c>
      <c r="V184" s="395">
        <f>T184*$V$4</f>
        <v>11374.35</v>
      </c>
      <c r="W184" s="317">
        <v>129692</v>
      </c>
      <c r="X184" s="317"/>
      <c r="Y184" s="146">
        <f>W184*$Y$4</f>
        <v>3890.7599999999998</v>
      </c>
      <c r="Z184" s="146">
        <f>W184*$Z$4</f>
        <v>2204.764</v>
      </c>
      <c r="AA184" s="146">
        <f>W184*$AA$4</f>
        <v>2075.072</v>
      </c>
      <c r="AB184" s="317">
        <f>W184*$AB$4</f>
        <v>389.076</v>
      </c>
      <c r="AC184" s="395">
        <f>V184*$AC$4</f>
        <v>1461.603975</v>
      </c>
      <c r="AD184" s="156">
        <f>N184+U184</f>
        <v>13527.797793480344</v>
      </c>
      <c r="AE184" s="12"/>
      <c r="AF184" s="12"/>
      <c r="AG184" s="12"/>
      <c r="AH184" s="12"/>
    </row>
    <row r="185" spans="2:34" ht="15.75">
      <c r="B185" s="147">
        <v>588</v>
      </c>
      <c r="C185" s="147">
        <v>2210</v>
      </c>
      <c r="D185" s="148" t="s">
        <v>398</v>
      </c>
      <c r="E185" s="147">
        <v>27</v>
      </c>
      <c r="F185" s="149">
        <v>31686</v>
      </c>
      <c r="G185" s="147">
        <v>1</v>
      </c>
      <c r="H185" s="150">
        <v>0</v>
      </c>
      <c r="I185" s="151">
        <v>0</v>
      </c>
      <c r="J185" s="151">
        <v>0</v>
      </c>
      <c r="K185" s="151">
        <v>0</v>
      </c>
      <c r="L185" s="131"/>
      <c r="M185" s="342">
        <f>'Per-Ft'!$J$26+('Rent-List'!F185-31000)*'Per-Ft'!$H$27</f>
        <v>7765.195768480345</v>
      </c>
      <c r="N185" s="326">
        <f t="shared" si="7"/>
        <v>7765.195768480345</v>
      </c>
      <c r="P185" s="292"/>
      <c r="Q185" s="105"/>
      <c r="R185" s="107"/>
      <c r="S185" s="285"/>
      <c r="T185" s="593"/>
      <c r="U185" s="607"/>
      <c r="V185" s="463"/>
      <c r="W185" s="316"/>
      <c r="X185" s="316"/>
      <c r="Y185" s="108"/>
      <c r="Z185" s="108"/>
      <c r="AA185" s="108"/>
      <c r="AB185" s="108"/>
      <c r="AC185" s="108"/>
      <c r="AD185" s="132">
        <f>N185+U185</f>
        <v>7765.195768480345</v>
      </c>
      <c r="AE185" s="12"/>
      <c r="AF185" s="12"/>
      <c r="AG185" s="12"/>
      <c r="AH185" s="12"/>
    </row>
    <row r="186" spans="2:34" ht="15.75">
      <c r="B186" s="164">
        <v>663</v>
      </c>
      <c r="C186" s="164">
        <v>2324</v>
      </c>
      <c r="D186" s="175" t="s">
        <v>87</v>
      </c>
      <c r="E186" s="164">
        <v>74</v>
      </c>
      <c r="F186" s="163">
        <v>32500</v>
      </c>
      <c r="G186" s="164">
        <v>2</v>
      </c>
      <c r="H186" s="189">
        <v>0</v>
      </c>
      <c r="I186" s="130">
        <f>'Per-Ft'!$L$16</f>
        <v>254.17297500000132</v>
      </c>
      <c r="J186" s="176">
        <v>0</v>
      </c>
      <c r="K186" s="176">
        <v>0</v>
      </c>
      <c r="L186" s="177"/>
      <c r="M186" s="342">
        <f>'Per-Ft'!$J$27+('Rent-List'!F186-32000)*'Per-Ft'!$H$28</f>
        <v>7765.195768480345</v>
      </c>
      <c r="N186" s="326">
        <f t="shared" si="7"/>
        <v>8019.368743480346</v>
      </c>
      <c r="P186" s="292"/>
      <c r="Q186" s="105"/>
      <c r="R186" s="107"/>
      <c r="S186" s="285"/>
      <c r="T186" s="593"/>
      <c r="U186" s="607"/>
      <c r="V186" s="463"/>
      <c r="W186" s="316"/>
      <c r="X186" s="316"/>
      <c r="Y186" s="108"/>
      <c r="Z186" s="108"/>
      <c r="AA186" s="108"/>
      <c r="AB186" s="108"/>
      <c r="AC186" s="108"/>
      <c r="AD186" s="132">
        <f>N186+U186</f>
        <v>8019.368743480346</v>
      </c>
      <c r="AE186" s="12"/>
      <c r="AF186" s="12"/>
      <c r="AG186" s="12"/>
      <c r="AH186" s="12"/>
    </row>
    <row r="187" spans="2:34" ht="15.75">
      <c r="B187" s="147">
        <v>612</v>
      </c>
      <c r="C187" s="147">
        <v>2217</v>
      </c>
      <c r="D187" s="148" t="s">
        <v>398</v>
      </c>
      <c r="E187" s="147">
        <v>21</v>
      </c>
      <c r="F187" s="149">
        <v>34200</v>
      </c>
      <c r="G187" s="147">
        <v>1</v>
      </c>
      <c r="H187" s="150">
        <v>0</v>
      </c>
      <c r="I187" s="151">
        <v>0</v>
      </c>
      <c r="J187" s="151">
        <v>0</v>
      </c>
      <c r="K187" s="151">
        <v>0</v>
      </c>
      <c r="L187" s="131"/>
      <c r="M187" s="342">
        <f>'Per-Ft'!$J$29+('Rent-List'!F187-34000)*'Per-Ft'!$H$30</f>
        <v>7765.195768480345</v>
      </c>
      <c r="N187" s="326">
        <f t="shared" si="7"/>
        <v>7765.195768480345</v>
      </c>
      <c r="P187" s="292"/>
      <c r="Q187" s="105"/>
      <c r="R187" s="107"/>
      <c r="S187" s="285"/>
      <c r="T187" s="593"/>
      <c r="U187" s="607"/>
      <c r="V187" s="463"/>
      <c r="W187" s="316"/>
      <c r="X187" s="316"/>
      <c r="Y187" s="108"/>
      <c r="Z187" s="108"/>
      <c r="AA187" s="108"/>
      <c r="AB187" s="108"/>
      <c r="AC187" s="108"/>
      <c r="AD187" s="132">
        <f>N187+U187</f>
        <v>7765.195768480345</v>
      </c>
      <c r="AE187" s="12"/>
      <c r="AF187" s="12"/>
      <c r="AG187" s="12"/>
      <c r="AH187" s="12"/>
    </row>
    <row r="188" spans="2:34" ht="15.75">
      <c r="B188" s="147">
        <v>518</v>
      </c>
      <c r="C188" s="147">
        <v>2108</v>
      </c>
      <c r="D188" s="148" t="s">
        <v>294</v>
      </c>
      <c r="E188" s="147" t="s">
        <v>36</v>
      </c>
      <c r="F188" s="149">
        <v>34848</v>
      </c>
      <c r="G188" s="147">
        <v>1</v>
      </c>
      <c r="H188" s="150">
        <f>'Per-Ft'!$L$19</f>
        <v>508.3459499999999</v>
      </c>
      <c r="I188" s="151">
        <v>0</v>
      </c>
      <c r="J188" s="151">
        <v>0</v>
      </c>
      <c r="K188" s="151">
        <v>0</v>
      </c>
      <c r="L188" s="131"/>
      <c r="M188" s="342">
        <f>'Per-Ft'!$J$29+('Rent-List'!F188-34000)*'Per-Ft'!$H$30</f>
        <v>7765.195768480345</v>
      </c>
      <c r="N188" s="326">
        <f t="shared" si="7"/>
        <v>8273.541718480345</v>
      </c>
      <c r="P188" s="292"/>
      <c r="Q188" s="105"/>
      <c r="R188" s="107"/>
      <c r="S188" s="285"/>
      <c r="T188" s="593"/>
      <c r="U188" s="607"/>
      <c r="V188" s="463"/>
      <c r="W188" s="316"/>
      <c r="X188" s="316"/>
      <c r="Y188" s="108"/>
      <c r="Z188" s="108"/>
      <c r="AA188" s="108"/>
      <c r="AB188" s="108"/>
      <c r="AC188" s="108"/>
      <c r="AD188" s="132">
        <f>N188+U188</f>
        <v>8273.541718480345</v>
      </c>
      <c r="AE188" s="12"/>
      <c r="AF188" s="12"/>
      <c r="AG188" s="12"/>
      <c r="AH188" s="12"/>
    </row>
    <row r="189" spans="1:34" ht="15.75">
      <c r="A189" s="135" t="s">
        <v>51</v>
      </c>
      <c r="B189" s="136">
        <v>684</v>
      </c>
      <c r="C189" s="136">
        <v>1901</v>
      </c>
      <c r="D189" s="137" t="s">
        <v>164</v>
      </c>
      <c r="E189" s="136">
        <v>39</v>
      </c>
      <c r="F189" s="138">
        <v>35735</v>
      </c>
      <c r="G189" s="136">
        <v>3</v>
      </c>
      <c r="H189" s="139">
        <f>'Per-Ft'!$L$19</f>
        <v>508.3459499999999</v>
      </c>
      <c r="I189" s="140">
        <v>0</v>
      </c>
      <c r="J189" s="140">
        <v>0</v>
      </c>
      <c r="K189" s="140">
        <v>0</v>
      </c>
      <c r="L189" s="141"/>
      <c r="M189" s="537">
        <f>'Per-Ft'!$J$30+('Rent-List'!F189-35000)*'Per-Ft'!$H$31</f>
        <v>7765.195768480345</v>
      </c>
      <c r="N189" s="326">
        <f t="shared" si="7"/>
        <v>8273.541718480345</v>
      </c>
      <c r="O189" s="142">
        <v>39</v>
      </c>
      <c r="P189" s="294">
        <v>5081</v>
      </c>
      <c r="Q189" s="143" t="s">
        <v>227</v>
      </c>
      <c r="R189" s="144">
        <v>750</v>
      </c>
      <c r="S189" s="154" t="s">
        <v>408</v>
      </c>
      <c r="T189" s="145">
        <v>800</v>
      </c>
      <c r="U189" s="155">
        <f>V189-Y189+Z189-AA189-AB189-AC189</f>
        <v>4841.375200000001</v>
      </c>
      <c r="V189" s="395">
        <f>T189*$V$4</f>
        <v>9332.800000000001</v>
      </c>
      <c r="W189" s="317">
        <v>102880</v>
      </c>
      <c r="X189" s="317"/>
      <c r="Y189" s="146">
        <f>W189*$Y$4</f>
        <v>3086.4</v>
      </c>
      <c r="Z189" s="146">
        <f>W189*$Z$4</f>
        <v>1748.96</v>
      </c>
      <c r="AA189" s="146">
        <f>W189*$AA$4</f>
        <v>1646.08</v>
      </c>
      <c r="AB189" s="317">
        <f>W189*$AB$4</f>
        <v>308.64</v>
      </c>
      <c r="AC189" s="395">
        <f>V189*$AC$4</f>
        <v>1199.2648000000002</v>
      </c>
      <c r="AD189" s="156">
        <v>11029.3106</v>
      </c>
      <c r="AE189" s="12"/>
      <c r="AF189" s="12"/>
      <c r="AG189" s="12"/>
      <c r="AH189" s="12"/>
    </row>
    <row r="190" spans="2:34" ht="15.75">
      <c r="B190" s="147">
        <v>582</v>
      </c>
      <c r="C190" s="147">
        <v>2003</v>
      </c>
      <c r="D190" s="148" t="s">
        <v>64</v>
      </c>
      <c r="E190" s="147">
        <v>31</v>
      </c>
      <c r="F190" s="149">
        <v>37235</v>
      </c>
      <c r="G190" s="147">
        <v>1</v>
      </c>
      <c r="H190" s="150">
        <v>0</v>
      </c>
      <c r="I190" s="151">
        <v>0</v>
      </c>
      <c r="J190" s="130">
        <v>0</v>
      </c>
      <c r="K190" s="130">
        <f>'Per-Ft'!$L$9</f>
        <v>508.34595000000263</v>
      </c>
      <c r="L190" s="131"/>
      <c r="M190" s="342">
        <f>'Per-Ft'!$J$32+('Rent-List'!F190-37000)*'Per-Ft'!$H$33</f>
        <v>7765.195768480345</v>
      </c>
      <c r="N190" s="326">
        <f t="shared" si="7"/>
        <v>7256.849818480342</v>
      </c>
      <c r="P190" s="292"/>
      <c r="Q190" s="105"/>
      <c r="R190" s="107"/>
      <c r="S190" s="285"/>
      <c r="T190" s="593"/>
      <c r="U190" s="607"/>
      <c r="V190" s="463"/>
      <c r="W190" s="316"/>
      <c r="X190" s="316"/>
      <c r="Y190" s="108"/>
      <c r="Z190" s="108"/>
      <c r="AA190" s="108"/>
      <c r="AB190" s="108"/>
      <c r="AC190" s="108"/>
      <c r="AD190" s="132">
        <f>N190+U190</f>
        <v>7256.849818480342</v>
      </c>
      <c r="AE190" s="12"/>
      <c r="AF190" s="12"/>
      <c r="AG190" s="12"/>
      <c r="AH190" s="12"/>
    </row>
    <row r="191" spans="2:34" ht="15.75">
      <c r="B191" s="147">
        <v>587</v>
      </c>
      <c r="C191" s="147">
        <v>2215</v>
      </c>
      <c r="D191" s="148" t="s">
        <v>153</v>
      </c>
      <c r="E191" s="147">
        <v>26</v>
      </c>
      <c r="F191" s="149">
        <v>37675</v>
      </c>
      <c r="G191" s="147">
        <v>1</v>
      </c>
      <c r="H191" s="150">
        <v>0</v>
      </c>
      <c r="I191" s="151">
        <v>0</v>
      </c>
      <c r="J191" s="151">
        <v>0</v>
      </c>
      <c r="K191" s="151">
        <v>0</v>
      </c>
      <c r="L191" s="131"/>
      <c r="M191" s="342">
        <f>'Per-Ft'!$J$32+('Rent-List'!F191-37000)*'Per-Ft'!$H$33</f>
        <v>7765.195768480345</v>
      </c>
      <c r="N191" s="326">
        <f t="shared" si="7"/>
        <v>7765.195768480345</v>
      </c>
      <c r="P191" s="292"/>
      <c r="Q191" s="105"/>
      <c r="R191" s="107"/>
      <c r="S191" s="285"/>
      <c r="T191" s="593"/>
      <c r="U191" s="607"/>
      <c r="V191" s="463"/>
      <c r="W191" s="316"/>
      <c r="X191" s="316"/>
      <c r="Y191" s="108"/>
      <c r="Z191" s="108"/>
      <c r="AA191" s="108"/>
      <c r="AB191" s="108"/>
      <c r="AC191" s="108"/>
      <c r="AD191" s="132">
        <f aca="true" t="shared" si="9" ref="AD191:AD198">N191+U191</f>
        <v>7765.195768480345</v>
      </c>
      <c r="AE191" s="12"/>
      <c r="AF191" s="12"/>
      <c r="AG191" s="12"/>
      <c r="AH191" s="12"/>
    </row>
    <row r="192" spans="2:34" ht="15.75">
      <c r="B192" s="147">
        <v>548</v>
      </c>
      <c r="C192" s="147">
        <v>1808</v>
      </c>
      <c r="D192" s="148" t="s">
        <v>64</v>
      </c>
      <c r="E192" s="147">
        <v>135</v>
      </c>
      <c r="F192" s="163">
        <v>39153.43</v>
      </c>
      <c r="G192" s="147">
        <v>2</v>
      </c>
      <c r="H192" s="150">
        <v>0</v>
      </c>
      <c r="I192" s="130">
        <f>'Per-Ft'!$L$16</f>
        <v>254.17297500000132</v>
      </c>
      <c r="J192" s="130">
        <v>0</v>
      </c>
      <c r="K192" s="130">
        <f>'Per-Ft'!$L$9</f>
        <v>508.34595000000263</v>
      </c>
      <c r="L192" s="131"/>
      <c r="M192" s="342">
        <f>'Per-Ft'!$J$34+('Rent-List'!F192-39000)*'Per-Ft'!$H$35</f>
        <v>7765.195768480345</v>
      </c>
      <c r="N192" s="326">
        <f t="shared" si="7"/>
        <v>7511.022793480343</v>
      </c>
      <c r="P192" s="292"/>
      <c r="Q192" s="105"/>
      <c r="R192" s="107"/>
      <c r="S192" s="285"/>
      <c r="T192" s="593"/>
      <c r="U192" s="607"/>
      <c r="V192" s="463"/>
      <c r="W192" s="316"/>
      <c r="X192" s="316"/>
      <c r="Y192" s="108"/>
      <c r="Z192" s="108"/>
      <c r="AA192" s="108"/>
      <c r="AB192" s="108"/>
      <c r="AC192" s="108"/>
      <c r="AD192" s="132">
        <f t="shared" si="9"/>
        <v>7511.022793480343</v>
      </c>
      <c r="AE192" s="12"/>
      <c r="AF192" s="12"/>
      <c r="AG192" s="12"/>
      <c r="AH192" s="12"/>
    </row>
    <row r="193" spans="2:34" ht="15.75">
      <c r="B193" s="147">
        <v>579</v>
      </c>
      <c r="C193" s="147">
        <v>2010</v>
      </c>
      <c r="D193" s="148" t="s">
        <v>64</v>
      </c>
      <c r="E193" s="147">
        <v>125</v>
      </c>
      <c r="F193" s="149">
        <v>39275</v>
      </c>
      <c r="G193" s="147">
        <v>1</v>
      </c>
      <c r="H193" s="150">
        <v>0</v>
      </c>
      <c r="I193" s="151">
        <v>0</v>
      </c>
      <c r="J193" s="130">
        <f>'Per-Ft'!$L$13</f>
        <v>254.1729750000004</v>
      </c>
      <c r="K193" s="151">
        <v>0</v>
      </c>
      <c r="L193" s="131"/>
      <c r="M193" s="342">
        <f>'Per-Ft'!$J$34+('Rent-List'!F193-39000)*'Per-Ft'!$H$35</f>
        <v>7765.195768480345</v>
      </c>
      <c r="N193" s="326">
        <f t="shared" si="7"/>
        <v>7511.022793480344</v>
      </c>
      <c r="P193" s="292"/>
      <c r="Q193" s="105"/>
      <c r="R193" s="107"/>
      <c r="S193" s="285"/>
      <c r="T193" s="593"/>
      <c r="U193" s="607"/>
      <c r="V193" s="463"/>
      <c r="W193" s="316"/>
      <c r="X193" s="316"/>
      <c r="Y193" s="108"/>
      <c r="Z193" s="108"/>
      <c r="AA193" s="108"/>
      <c r="AB193" s="108"/>
      <c r="AC193" s="108"/>
      <c r="AD193" s="132">
        <f t="shared" si="9"/>
        <v>7511.022793480344</v>
      </c>
      <c r="AE193" s="12"/>
      <c r="AF193" s="12"/>
      <c r="AG193" s="12"/>
      <c r="AH193" s="12"/>
    </row>
    <row r="194" spans="2:34" ht="15.75">
      <c r="B194" s="147">
        <v>621</v>
      </c>
      <c r="C194" s="147">
        <v>2005</v>
      </c>
      <c r="D194" s="148" t="s">
        <v>164</v>
      </c>
      <c r="E194" s="147">
        <v>37</v>
      </c>
      <c r="F194" s="149">
        <v>42370</v>
      </c>
      <c r="G194" s="147">
        <v>1</v>
      </c>
      <c r="H194" s="150">
        <f>'Per-Ft'!$L$19</f>
        <v>508.3459499999999</v>
      </c>
      <c r="I194" s="151">
        <v>0</v>
      </c>
      <c r="J194" s="151">
        <v>0</v>
      </c>
      <c r="K194" s="151">
        <v>0</v>
      </c>
      <c r="L194" s="131"/>
      <c r="M194" s="342">
        <f>'Per-Ft'!$J$37+('Rent-List'!F194-42000)*'Per-Ft'!$H$38</f>
        <v>7765.195768480345</v>
      </c>
      <c r="N194" s="326">
        <f t="shared" si="7"/>
        <v>8273.541718480345</v>
      </c>
      <c r="P194" s="292"/>
      <c r="Q194" s="105"/>
      <c r="R194" s="107"/>
      <c r="S194" s="285"/>
      <c r="T194" s="593"/>
      <c r="U194" s="607"/>
      <c r="V194" s="463"/>
      <c r="W194" s="316"/>
      <c r="X194" s="316"/>
      <c r="Y194" s="108"/>
      <c r="Z194" s="108"/>
      <c r="AA194" s="108"/>
      <c r="AB194" s="108"/>
      <c r="AC194" s="108"/>
      <c r="AD194" s="132">
        <f t="shared" si="9"/>
        <v>8273.541718480345</v>
      </c>
      <c r="AE194" s="12"/>
      <c r="AF194" s="12"/>
      <c r="AG194" s="12"/>
      <c r="AH194" s="12"/>
    </row>
    <row r="195" spans="2:34" ht="15.75">
      <c r="B195" s="147">
        <v>524</v>
      </c>
      <c r="C195" s="147">
        <v>2008</v>
      </c>
      <c r="D195" s="148" t="s">
        <v>294</v>
      </c>
      <c r="E195" s="147" t="s">
        <v>403</v>
      </c>
      <c r="F195" s="149">
        <v>46160</v>
      </c>
      <c r="G195" s="147">
        <v>1</v>
      </c>
      <c r="H195" s="150">
        <f>'Per-Ft'!$L$19</f>
        <v>508.3459499999999</v>
      </c>
      <c r="I195" s="151">
        <v>0</v>
      </c>
      <c r="J195" s="151">
        <v>0</v>
      </c>
      <c r="K195" s="151">
        <v>0</v>
      </c>
      <c r="L195" s="131"/>
      <c r="M195" s="342">
        <f>'Per-Ft'!$J$41+('Rent-List'!F195-46000)*'Per-Ft'!$H$42</f>
        <v>7765.195768480345</v>
      </c>
      <c r="N195" s="326">
        <f t="shared" si="7"/>
        <v>8273.541718480345</v>
      </c>
      <c r="P195" s="292"/>
      <c r="Q195" s="105"/>
      <c r="R195" s="107"/>
      <c r="S195" s="285"/>
      <c r="T195" s="593"/>
      <c r="U195" s="607"/>
      <c r="V195" s="463"/>
      <c r="W195" s="316"/>
      <c r="X195" s="316"/>
      <c r="Y195" s="108"/>
      <c r="Z195" s="108"/>
      <c r="AA195" s="108"/>
      <c r="AB195" s="108"/>
      <c r="AC195" s="108"/>
      <c r="AD195" s="132">
        <f t="shared" si="9"/>
        <v>8273.541718480345</v>
      </c>
      <c r="AE195" s="12"/>
      <c r="AF195" s="12"/>
      <c r="AG195" s="12"/>
      <c r="AH195" s="12"/>
    </row>
    <row r="196" spans="2:34" ht="15.75">
      <c r="B196" s="147">
        <v>605</v>
      </c>
      <c r="C196" s="147">
        <v>2227</v>
      </c>
      <c r="D196" s="148" t="s">
        <v>55</v>
      </c>
      <c r="E196" s="147">
        <v>12</v>
      </c>
      <c r="F196" s="163">
        <v>49090</v>
      </c>
      <c r="G196" s="147">
        <v>1</v>
      </c>
      <c r="H196" s="150">
        <f>'Per-Ft'!$L$19/2</f>
        <v>254.17297499999995</v>
      </c>
      <c r="I196" s="535">
        <v>0</v>
      </c>
      <c r="J196" s="130">
        <f>'Per-Ft'!$L$13</f>
        <v>254.1729750000004</v>
      </c>
      <c r="K196" s="151">
        <v>0</v>
      </c>
      <c r="L196" s="131"/>
      <c r="M196" s="342">
        <f>'Per-Ft'!$J$44+('Rent-List'!F196-49000)*'Per-Ft'!$H$45</f>
        <v>7765.195768480345</v>
      </c>
      <c r="N196" s="326">
        <f t="shared" si="7"/>
        <v>7765.195768480345</v>
      </c>
      <c r="P196" s="292"/>
      <c r="Q196" s="108"/>
      <c r="R196" s="107"/>
      <c r="T196" s="593"/>
      <c r="U196" s="607"/>
      <c r="V196" s="463"/>
      <c r="W196" s="316"/>
      <c r="X196" s="316"/>
      <c r="Y196" s="108"/>
      <c r="Z196" s="108"/>
      <c r="AA196" s="108"/>
      <c r="AB196" s="108"/>
      <c r="AC196" s="108"/>
      <c r="AD196" s="132">
        <f t="shared" si="9"/>
        <v>7765.195768480345</v>
      </c>
      <c r="AE196" s="12"/>
      <c r="AF196" s="12"/>
      <c r="AG196" s="12"/>
      <c r="AH196" s="12"/>
    </row>
    <row r="197" spans="2:34" ht="15.75">
      <c r="B197" s="147">
        <v>586</v>
      </c>
      <c r="C197" s="147">
        <v>2216</v>
      </c>
      <c r="D197" s="148" t="s">
        <v>398</v>
      </c>
      <c r="E197" s="147">
        <v>25</v>
      </c>
      <c r="F197" s="149">
        <v>53328</v>
      </c>
      <c r="G197" s="147">
        <v>1</v>
      </c>
      <c r="H197" s="150">
        <v>0</v>
      </c>
      <c r="I197" s="151">
        <v>0</v>
      </c>
      <c r="J197" s="151">
        <v>0</v>
      </c>
      <c r="K197" s="151">
        <v>0</v>
      </c>
      <c r="L197" s="131"/>
      <c r="M197" s="342">
        <f>'Per-Ft'!$J$48+('Rent-List'!F197-53000)*'Per-Ft'!$H$49</f>
        <v>7765.195768480345</v>
      </c>
      <c r="N197" s="326">
        <f t="shared" si="7"/>
        <v>7765.195768480345</v>
      </c>
      <c r="P197" s="292"/>
      <c r="Q197" s="108"/>
      <c r="R197" s="107"/>
      <c r="T197" s="593"/>
      <c r="U197" s="607"/>
      <c r="V197" s="463"/>
      <c r="W197" s="316"/>
      <c r="X197" s="316"/>
      <c r="Y197" s="108"/>
      <c r="Z197" s="108"/>
      <c r="AA197" s="108"/>
      <c r="AB197" s="108"/>
      <c r="AC197" s="108"/>
      <c r="AD197" s="132">
        <f t="shared" si="9"/>
        <v>7765.195768480345</v>
      </c>
      <c r="AE197" s="12"/>
      <c r="AF197" s="12"/>
      <c r="AG197" s="12"/>
      <c r="AH197" s="12"/>
    </row>
    <row r="198" spans="2:34" ht="15.75">
      <c r="B198" s="147">
        <v>622</v>
      </c>
      <c r="C198" s="147">
        <v>1905</v>
      </c>
      <c r="D198" s="148" t="s">
        <v>164</v>
      </c>
      <c r="E198" s="147">
        <v>38</v>
      </c>
      <c r="F198" s="149">
        <v>55696</v>
      </c>
      <c r="G198" s="147">
        <v>1</v>
      </c>
      <c r="H198" s="150">
        <f>'Per-Ft'!$L$19</f>
        <v>508.3459499999999</v>
      </c>
      <c r="I198" s="151">
        <v>0</v>
      </c>
      <c r="J198" s="151">
        <v>0</v>
      </c>
      <c r="K198" s="151">
        <v>0</v>
      </c>
      <c r="L198" s="131"/>
      <c r="M198" s="342">
        <f>'Per-Ft'!$J$50+('Rent-List'!F198-55000)*'Per-Ft'!$H$51</f>
        <v>7765.195768480345</v>
      </c>
      <c r="N198" s="326">
        <f t="shared" si="7"/>
        <v>8273.541718480345</v>
      </c>
      <c r="P198" s="292"/>
      <c r="Q198" s="108"/>
      <c r="R198" s="107"/>
      <c r="T198" s="593"/>
      <c r="U198" s="607"/>
      <c r="V198" s="463"/>
      <c r="W198" s="316"/>
      <c r="X198" s="316"/>
      <c r="Y198" s="108"/>
      <c r="Z198" s="108"/>
      <c r="AA198" s="108"/>
      <c r="AB198" s="108"/>
      <c r="AC198" s="108"/>
      <c r="AD198" s="132">
        <f t="shared" si="9"/>
        <v>8273.541718480345</v>
      </c>
      <c r="AE198" s="12"/>
      <c r="AF198" s="12"/>
      <c r="AG198" s="12"/>
      <c r="AH198" s="12"/>
    </row>
    <row r="199" spans="6:34" ht="15.75">
      <c r="F199" s="420"/>
      <c r="T199" s="610"/>
      <c r="U199" s="608"/>
      <c r="AE199" s="12"/>
      <c r="AF199" s="12"/>
      <c r="AG199" s="12"/>
      <c r="AH199" s="12"/>
    </row>
    <row r="200" spans="2:34" ht="15.75">
      <c r="B200" s="191" t="s">
        <v>338</v>
      </c>
      <c r="D200" s="100"/>
      <c r="F200" s="100"/>
      <c r="G200" s="100"/>
      <c r="H200" s="103"/>
      <c r="I200" s="103"/>
      <c r="J200" s="103"/>
      <c r="K200" s="103"/>
      <c r="L200" s="103"/>
      <c r="M200" s="339"/>
      <c r="N200" s="191" t="s">
        <v>184</v>
      </c>
      <c r="P200" s="292"/>
      <c r="Q200" s="105"/>
      <c r="R200" s="107"/>
      <c r="S200" s="285"/>
      <c r="T200" s="593"/>
      <c r="U200" s="607"/>
      <c r="V200" s="463"/>
      <c r="W200" s="316"/>
      <c r="X200" s="316"/>
      <c r="Y200" s="108"/>
      <c r="Z200" s="108"/>
      <c r="AA200" s="108"/>
      <c r="AB200" s="108"/>
      <c r="AC200" s="108"/>
      <c r="AD200" s="132"/>
      <c r="AE200" s="12"/>
      <c r="AF200" s="12"/>
      <c r="AG200" s="12"/>
      <c r="AH200" s="12"/>
    </row>
    <row r="201" spans="1:34" ht="15.75">
      <c r="A201" s="12"/>
      <c r="B201" s="556" t="s">
        <v>402</v>
      </c>
      <c r="C201" s="164"/>
      <c r="D201" s="175"/>
      <c r="E201" s="164"/>
      <c r="F201" s="163"/>
      <c r="G201" s="164"/>
      <c r="H201" s="189"/>
      <c r="I201" s="176"/>
      <c r="J201" s="176"/>
      <c r="K201" s="176"/>
      <c r="L201" s="177"/>
      <c r="M201" s="342"/>
      <c r="N201" s="327"/>
      <c r="O201" s="201"/>
      <c r="P201" s="296"/>
      <c r="Q201" s="202"/>
      <c r="R201" s="4"/>
      <c r="S201" s="117"/>
      <c r="T201" s="593"/>
      <c r="U201" s="609"/>
      <c r="V201" s="398"/>
      <c r="W201" s="319"/>
      <c r="X201" s="319"/>
      <c r="Y201" s="204"/>
      <c r="Z201" s="204"/>
      <c r="AA201" s="204"/>
      <c r="AB201" s="319"/>
      <c r="AC201" s="398"/>
      <c r="AD201" s="205"/>
      <c r="AE201" s="12"/>
      <c r="AF201" s="12"/>
      <c r="AG201" s="12"/>
      <c r="AH201" s="12"/>
    </row>
    <row r="202" spans="2:34" ht="15.75">
      <c r="B202" s="100"/>
      <c r="C202" s="100"/>
      <c r="D202" s="100"/>
      <c r="E202" s="100"/>
      <c r="F202" s="100"/>
      <c r="G202" s="100"/>
      <c r="H202" s="103"/>
      <c r="I202" s="103"/>
      <c r="J202" s="103"/>
      <c r="K202" s="103"/>
      <c r="L202" s="103"/>
      <c r="M202" s="339"/>
      <c r="N202" s="191"/>
      <c r="O202" s="201"/>
      <c r="P202" s="296"/>
      <c r="Q202" s="202"/>
      <c r="R202" s="4"/>
      <c r="S202" s="117"/>
      <c r="T202" s="611"/>
      <c r="U202" s="608"/>
      <c r="AE202" s="12"/>
      <c r="AF202" s="12"/>
      <c r="AG202" s="12"/>
      <c r="AH202" s="12"/>
    </row>
    <row r="203" spans="1:34" ht="15.75">
      <c r="A203" s="188" t="s">
        <v>103</v>
      </c>
      <c r="B203" s="206">
        <v>597</v>
      </c>
      <c r="C203" s="206">
        <v>2201</v>
      </c>
      <c r="D203" s="207" t="s">
        <v>55</v>
      </c>
      <c r="E203" s="206">
        <v>1</v>
      </c>
      <c r="F203" s="208">
        <v>23881</v>
      </c>
      <c r="G203" s="209">
        <v>4</v>
      </c>
      <c r="H203" s="210"/>
      <c r="I203" s="210"/>
      <c r="J203" s="210"/>
      <c r="K203" s="210"/>
      <c r="L203" s="211"/>
      <c r="M203" s="343" t="s">
        <v>150</v>
      </c>
      <c r="N203" s="328" t="s">
        <v>353</v>
      </c>
      <c r="O203" s="213">
        <v>1</v>
      </c>
      <c r="P203" s="298">
        <v>23881</v>
      </c>
      <c r="Q203" s="214" t="s">
        <v>104</v>
      </c>
      <c r="R203" s="215">
        <v>2350</v>
      </c>
      <c r="S203" s="596" t="s">
        <v>113</v>
      </c>
      <c r="T203" s="212">
        <v>2550</v>
      </c>
      <c r="U203" s="322">
        <f>V203-Y203+Z203-AA203-AB203-AC203-X203</f>
        <v>11631.595449999997</v>
      </c>
      <c r="V203" s="401">
        <f>T203*$V$4</f>
        <v>29748.3</v>
      </c>
      <c r="W203" s="322">
        <v>296689</v>
      </c>
      <c r="X203" s="322">
        <v>4800</v>
      </c>
      <c r="Y203" s="216">
        <f>W203*$Y$4</f>
        <v>8900.67</v>
      </c>
      <c r="Z203" s="216">
        <f>W203*$Z$4</f>
        <v>5043.713000000001</v>
      </c>
      <c r="AA203" s="216">
        <f>W203*$AA$4</f>
        <v>4747.024</v>
      </c>
      <c r="AB203" s="322">
        <f>W203*$AB$4</f>
        <v>890.067</v>
      </c>
      <c r="AC203" s="401">
        <f>V203*$AC$4</f>
        <v>3822.65655</v>
      </c>
      <c r="AD203" s="217">
        <f>U203</f>
        <v>11631.595449999997</v>
      </c>
      <c r="AE203" s="12"/>
      <c r="AF203" s="12"/>
      <c r="AG203" s="12"/>
      <c r="AH203" s="12"/>
    </row>
    <row r="204" spans="2:34" ht="15.75">
      <c r="B204" s="100"/>
      <c r="C204" s="100"/>
      <c r="D204" s="100"/>
      <c r="E204" s="100"/>
      <c r="F204" s="100"/>
      <c r="G204" s="100"/>
      <c r="H204" s="218"/>
      <c r="I204" s="218"/>
      <c r="J204" s="103"/>
      <c r="K204" s="218"/>
      <c r="L204" s="218" t="s">
        <v>159</v>
      </c>
      <c r="M204" s="344"/>
      <c r="N204" s="191"/>
      <c r="O204" s="201"/>
      <c r="P204" s="296"/>
      <c r="Q204" s="202"/>
      <c r="R204" s="4"/>
      <c r="S204" s="117"/>
      <c r="T204" s="593"/>
      <c r="U204" s="609"/>
      <c r="V204" s="398"/>
      <c r="W204" s="319"/>
      <c r="X204" s="319"/>
      <c r="Y204" s="204"/>
      <c r="Z204" s="204"/>
      <c r="AA204" s="204"/>
      <c r="AB204" s="319"/>
      <c r="AC204" s="398"/>
      <c r="AD204" s="205"/>
      <c r="AE204" s="12"/>
      <c r="AF204" s="12"/>
      <c r="AG204" s="12"/>
      <c r="AH204" s="12"/>
    </row>
    <row r="205" spans="1:34" ht="15.75">
      <c r="A205" s="188" t="s">
        <v>284</v>
      </c>
      <c r="B205" s="206">
        <v>635</v>
      </c>
      <c r="C205" s="206">
        <v>1812</v>
      </c>
      <c r="D205" s="207" t="s">
        <v>164</v>
      </c>
      <c r="E205" s="206">
        <v>46</v>
      </c>
      <c r="F205" s="208">
        <v>20279</v>
      </c>
      <c r="G205" s="209">
        <v>5</v>
      </c>
      <c r="H205" s="210"/>
      <c r="I205" s="210"/>
      <c r="J205" s="219"/>
      <c r="K205" s="220"/>
      <c r="L205" s="211"/>
      <c r="M205" s="345" t="s">
        <v>151</v>
      </c>
      <c r="N205" s="329" t="s">
        <v>354</v>
      </c>
      <c r="O205" s="213">
        <v>46</v>
      </c>
      <c r="P205" s="298">
        <v>20279</v>
      </c>
      <c r="Q205" s="214" t="s">
        <v>285</v>
      </c>
      <c r="R205" s="215">
        <v>3000</v>
      </c>
      <c r="S205" s="289" t="s">
        <v>176</v>
      </c>
      <c r="T205" s="212">
        <v>3525</v>
      </c>
      <c r="U205" s="322">
        <f>V205-Y205+Z205-AA205-AB205-AC205-X205</f>
        <v>17976.821474999997</v>
      </c>
      <c r="V205" s="401">
        <f>T205*$V$4</f>
        <v>41122.65</v>
      </c>
      <c r="W205" s="322">
        <v>370674</v>
      </c>
      <c r="X205" s="322">
        <v>6000</v>
      </c>
      <c r="Y205" s="216">
        <f>W205*$Y$4</f>
        <v>11120.22</v>
      </c>
      <c r="Z205" s="216">
        <f>W205*$Z$4</f>
        <v>6301.4580000000005</v>
      </c>
      <c r="AA205" s="216">
        <f>W205*$AA$4</f>
        <v>5930.784000000001</v>
      </c>
      <c r="AB205" s="322">
        <f>W205*$AB$4</f>
        <v>1112.022</v>
      </c>
      <c r="AC205" s="401">
        <f>V205*$AC$4</f>
        <v>5284.260525000001</v>
      </c>
      <c r="AD205" s="217">
        <f>U205</f>
        <v>17976.821474999997</v>
      </c>
      <c r="AE205" s="12"/>
      <c r="AF205" s="12"/>
      <c r="AG205" s="12"/>
      <c r="AH205" s="12"/>
    </row>
    <row r="206" spans="2:34" ht="15.75">
      <c r="B206" s="164"/>
      <c r="C206" s="164"/>
      <c r="D206" s="175"/>
      <c r="E206" s="164"/>
      <c r="F206" s="163"/>
      <c r="G206" s="221"/>
      <c r="H206" s="222"/>
      <c r="I206" s="222"/>
      <c r="J206" s="223"/>
      <c r="K206" s="224"/>
      <c r="L206" s="224" t="s">
        <v>160</v>
      </c>
      <c r="M206" s="346"/>
      <c r="N206" s="327"/>
      <c r="O206" s="201"/>
      <c r="P206" s="296"/>
      <c r="Q206" s="202"/>
      <c r="R206" s="4"/>
      <c r="S206" s="117"/>
      <c r="T206" s="593"/>
      <c r="U206" s="609"/>
      <c r="V206" s="398"/>
      <c r="W206" s="319"/>
      <c r="X206" s="319"/>
      <c r="Y206" s="204"/>
      <c r="Z206" s="204"/>
      <c r="AA206" s="204"/>
      <c r="AB206" s="319"/>
      <c r="AC206" s="398"/>
      <c r="AD206" s="205"/>
      <c r="AE206" s="12"/>
      <c r="AF206" s="12"/>
      <c r="AG206" s="12"/>
      <c r="AH206" s="12"/>
    </row>
    <row r="207" spans="1:34" ht="15.75">
      <c r="A207" s="188" t="s">
        <v>284</v>
      </c>
      <c r="B207" s="206">
        <v>645</v>
      </c>
      <c r="C207" s="206">
        <v>2300</v>
      </c>
      <c r="D207" s="207" t="s">
        <v>87</v>
      </c>
      <c r="E207" s="206">
        <v>54</v>
      </c>
      <c r="F207" s="208">
        <v>16602</v>
      </c>
      <c r="G207" s="209">
        <v>6</v>
      </c>
      <c r="H207" s="210"/>
      <c r="I207" s="210"/>
      <c r="J207" s="219"/>
      <c r="K207" s="220"/>
      <c r="L207" s="211"/>
      <c r="M207" s="345" t="s">
        <v>241</v>
      </c>
      <c r="N207" s="329" t="s">
        <v>280</v>
      </c>
      <c r="O207" s="213">
        <v>54</v>
      </c>
      <c r="P207" s="298">
        <v>16602</v>
      </c>
      <c r="Q207" s="214" t="s">
        <v>285</v>
      </c>
      <c r="R207" s="215">
        <v>4389</v>
      </c>
      <c r="S207" s="289" t="s">
        <v>176</v>
      </c>
      <c r="T207" s="212">
        <v>5575</v>
      </c>
      <c r="U207" s="322">
        <f>V207-Y207+Z207-AA207-AB207-AC207-X207</f>
        <v>32802.589425</v>
      </c>
      <c r="V207" s="401">
        <f>T207*$V$4</f>
        <v>65037.950000000004</v>
      </c>
      <c r="W207" s="322">
        <v>521187</v>
      </c>
      <c r="X207" s="322">
        <v>7200</v>
      </c>
      <c r="Y207" s="216">
        <f>W207*$Y$4</f>
        <v>15635.609999999999</v>
      </c>
      <c r="Z207" s="216">
        <f>W207*$Z$4</f>
        <v>8860.179</v>
      </c>
      <c r="AA207" s="216">
        <f>W207*$AA$4</f>
        <v>8338.992</v>
      </c>
      <c r="AB207" s="322">
        <f>W207*$AB$4</f>
        <v>1563.561</v>
      </c>
      <c r="AC207" s="401">
        <f>V207*$AC$4</f>
        <v>8357.376575</v>
      </c>
      <c r="AD207" s="217">
        <f>U207</f>
        <v>32802.589425</v>
      </c>
      <c r="AE207" s="12"/>
      <c r="AF207" s="12"/>
      <c r="AG207" s="12"/>
      <c r="AH207" s="12"/>
    </row>
    <row r="208" spans="2:34" ht="15.75">
      <c r="B208" s="225"/>
      <c r="C208" s="225"/>
      <c r="D208" s="226"/>
      <c r="E208" s="225"/>
      <c r="F208" s="227"/>
      <c r="G208" s="225"/>
      <c r="H208" s="222"/>
      <c r="I208" s="222"/>
      <c r="J208" s="223"/>
      <c r="K208" s="224"/>
      <c r="L208" s="224" t="s">
        <v>112</v>
      </c>
      <c r="M208" s="346"/>
      <c r="N208" s="327"/>
      <c r="O208" s="201"/>
      <c r="P208" s="296"/>
      <c r="Q208" s="202"/>
      <c r="R208" s="4"/>
      <c r="S208" s="117"/>
      <c r="T208" s="593"/>
      <c r="U208" s="607"/>
      <c r="V208" s="398"/>
      <c r="W208" s="319"/>
      <c r="X208" s="319"/>
      <c r="Y208" s="203"/>
      <c r="Z208" s="203"/>
      <c r="AA208" s="203"/>
      <c r="AB208" s="203"/>
      <c r="AC208" s="203"/>
      <c r="AD208" s="205"/>
      <c r="AE208" s="12"/>
      <c r="AF208" s="12"/>
      <c r="AG208" s="12"/>
      <c r="AH208" s="12"/>
    </row>
    <row r="209" spans="2:34" ht="15.75">
      <c r="B209" s="228" t="s">
        <v>172</v>
      </c>
      <c r="C209" s="229"/>
      <c r="D209" s="230"/>
      <c r="E209" s="231"/>
      <c r="F209" s="227"/>
      <c r="G209" s="225"/>
      <c r="H209" s="222"/>
      <c r="I209" s="222"/>
      <c r="J209" s="223"/>
      <c r="K209" s="224"/>
      <c r="L209" s="222"/>
      <c r="M209" s="346"/>
      <c r="N209" s="327"/>
      <c r="O209" s="201"/>
      <c r="P209" s="296"/>
      <c r="Q209" s="202"/>
      <c r="R209" s="4"/>
      <c r="S209" s="117"/>
      <c r="T209" s="593"/>
      <c r="U209" s="607"/>
      <c r="V209" s="398"/>
      <c r="W209" s="319"/>
      <c r="X209" s="319"/>
      <c r="Y209" s="203"/>
      <c r="Z209" s="203"/>
      <c r="AA209" s="203"/>
      <c r="AB209" s="203"/>
      <c r="AC209" s="203"/>
      <c r="AD209" s="205"/>
      <c r="AE209" s="12"/>
      <c r="AF209" s="12"/>
      <c r="AG209" s="12"/>
      <c r="AH209" s="12"/>
    </row>
    <row r="210" spans="2:34" ht="15.75">
      <c r="B210" s="200"/>
      <c r="C210" s="200"/>
      <c r="D210" s="200"/>
      <c r="E210" s="200"/>
      <c r="F210" s="200"/>
      <c r="G210" s="200"/>
      <c r="H210" s="223"/>
      <c r="I210" s="223"/>
      <c r="J210" s="223"/>
      <c r="K210" s="223"/>
      <c r="L210" s="223"/>
      <c r="M210" s="347"/>
      <c r="N210" s="330"/>
      <c r="O210" s="201"/>
      <c r="P210" s="296"/>
      <c r="Q210" s="202"/>
      <c r="R210" s="4"/>
      <c r="S210" s="117"/>
      <c r="T210" s="593"/>
      <c r="U210" s="607"/>
      <c r="V210" s="398"/>
      <c r="W210" s="319"/>
      <c r="X210" s="319"/>
      <c r="Y210" s="203"/>
      <c r="Z210" s="203"/>
      <c r="AA210" s="203"/>
      <c r="AB210" s="203"/>
      <c r="AC210" s="203"/>
      <c r="AD210" s="205"/>
      <c r="AE210" s="12"/>
      <c r="AF210" s="12"/>
      <c r="AG210" s="12"/>
      <c r="AH210" s="12"/>
    </row>
    <row r="211" spans="1:34" ht="15.75">
      <c r="A211" s="232" t="s">
        <v>25</v>
      </c>
      <c r="B211" s="233">
        <v>644</v>
      </c>
      <c r="C211" s="233">
        <v>1802</v>
      </c>
      <c r="D211" s="234" t="s">
        <v>164</v>
      </c>
      <c r="E211" s="233">
        <v>51</v>
      </c>
      <c r="F211" s="235">
        <v>12556</v>
      </c>
      <c r="G211" s="236">
        <v>3</v>
      </c>
      <c r="H211" s="237"/>
      <c r="I211" s="237"/>
      <c r="J211" s="238"/>
      <c r="K211" s="239"/>
      <c r="L211" s="237"/>
      <c r="M211" s="348"/>
      <c r="N211" s="331">
        <f>U214</f>
        <v>12481.537060000002</v>
      </c>
      <c r="O211" s="242">
        <v>51</v>
      </c>
      <c r="P211" s="300">
        <v>4272</v>
      </c>
      <c r="Q211" s="243" t="s">
        <v>414</v>
      </c>
      <c r="R211" s="300">
        <v>776</v>
      </c>
      <c r="S211" s="300" t="s">
        <v>80</v>
      </c>
      <c r="T211" s="258">
        <v>775</v>
      </c>
      <c r="U211" s="323">
        <f>V211-Y211+Z211-AA211-AB211-AC211</f>
        <v>4192.930225</v>
      </c>
      <c r="V211" s="402">
        <f>T211*$V$4</f>
        <v>9041.15</v>
      </c>
      <c r="W211" s="323">
        <v>115201</v>
      </c>
      <c r="X211" s="323"/>
      <c r="Y211" s="245">
        <f>W211*$Y$4</f>
        <v>3456.0299999999997</v>
      </c>
      <c r="Z211" s="245">
        <f>W211*$Z$4</f>
        <v>1958.4170000000001</v>
      </c>
      <c r="AA211" s="245">
        <f>W211*$AA$4</f>
        <v>1843.2160000000001</v>
      </c>
      <c r="AB211" s="323">
        <f>W211*$AB$4</f>
        <v>345.603</v>
      </c>
      <c r="AC211" s="402">
        <f>V211*$AC$4</f>
        <v>1161.787775</v>
      </c>
      <c r="AD211" s="403"/>
      <c r="AE211" s="12"/>
      <c r="AF211" s="12"/>
      <c r="AG211" s="12"/>
      <c r="AH211" s="12"/>
    </row>
    <row r="212" spans="1:34" ht="15.75">
      <c r="A212" s="232"/>
      <c r="B212" s="231"/>
      <c r="C212" s="231"/>
      <c r="D212" s="230"/>
      <c r="E212" s="231"/>
      <c r="F212" s="247"/>
      <c r="G212" s="231"/>
      <c r="H212" s="237"/>
      <c r="I212" s="237"/>
      <c r="J212" s="237"/>
      <c r="K212" s="237"/>
      <c r="L212" s="237"/>
      <c r="M212" s="349"/>
      <c r="N212" s="331"/>
      <c r="O212" s="242">
        <v>51</v>
      </c>
      <c r="P212" s="300">
        <v>3853</v>
      </c>
      <c r="Q212" s="243" t="s">
        <v>414</v>
      </c>
      <c r="R212" s="300">
        <v>700</v>
      </c>
      <c r="S212" s="300" t="s">
        <v>80</v>
      </c>
      <c r="T212" s="258">
        <v>725</v>
      </c>
      <c r="U212" s="323">
        <f>V212-Y212+Z212-AA212-AB212-AC212</f>
        <v>3939.400275000001</v>
      </c>
      <c r="V212" s="402">
        <f>T212*$V$4</f>
        <v>8457.85</v>
      </c>
      <c r="W212" s="323">
        <v>107238</v>
      </c>
      <c r="X212" s="323"/>
      <c r="Y212" s="245">
        <f>W212*$Y$4</f>
        <v>3217.14</v>
      </c>
      <c r="Z212" s="245">
        <f>W212*$Z$4</f>
        <v>1823.046</v>
      </c>
      <c r="AA212" s="245">
        <f>W212*$AA$4</f>
        <v>1715.808</v>
      </c>
      <c r="AB212" s="323">
        <f>W212*$AB$4</f>
        <v>321.714</v>
      </c>
      <c r="AC212" s="402">
        <f>V212*$AC$4</f>
        <v>1086.8337250000002</v>
      </c>
      <c r="AD212" s="403"/>
      <c r="AE212" s="12"/>
      <c r="AF212" s="12"/>
      <c r="AG212" s="12"/>
      <c r="AH212" s="12"/>
    </row>
    <row r="213" spans="1:34" ht="15.75">
      <c r="A213" s="232"/>
      <c r="B213" s="231"/>
      <c r="C213" s="231"/>
      <c r="D213" s="230"/>
      <c r="E213" s="231"/>
      <c r="F213" s="249"/>
      <c r="G213" s="231"/>
      <c r="H213" s="237"/>
      <c r="I213" s="237"/>
      <c r="J213" s="250"/>
      <c r="K213" s="239"/>
      <c r="L213" s="237"/>
      <c r="M213" s="350"/>
      <c r="N213" s="331"/>
      <c r="O213" s="242">
        <v>51</v>
      </c>
      <c r="P213" s="300">
        <v>4431</v>
      </c>
      <c r="Q213" s="243" t="s">
        <v>414</v>
      </c>
      <c r="R213" s="300">
        <v>805</v>
      </c>
      <c r="S213" s="300" t="s">
        <v>80</v>
      </c>
      <c r="T213" s="258">
        <v>800</v>
      </c>
      <c r="U213" s="323">
        <f>V213-Y213+Z213-AA213-AB213-AC213</f>
        <v>4349.206560000001</v>
      </c>
      <c r="V213" s="402">
        <f>T213*$V$4</f>
        <v>9332.800000000001</v>
      </c>
      <c r="W213" s="323">
        <v>118260.27</v>
      </c>
      <c r="X213" s="323"/>
      <c r="Y213" s="245">
        <f>W213*$Y$4</f>
        <v>3547.8081</v>
      </c>
      <c r="Z213" s="245">
        <f>W213*$Z$4</f>
        <v>2010.4245900000003</v>
      </c>
      <c r="AA213" s="245">
        <f>W213*$AA$4</f>
        <v>1892.16432</v>
      </c>
      <c r="AB213" s="323">
        <f>W213*$AB$4</f>
        <v>354.78081000000003</v>
      </c>
      <c r="AC213" s="402">
        <f>V213*$AC$4</f>
        <v>1199.2648000000002</v>
      </c>
      <c r="AD213" s="403"/>
      <c r="AE213" s="12"/>
      <c r="AF213" s="12"/>
      <c r="AG213" s="12"/>
      <c r="AH213" s="12"/>
    </row>
    <row r="214" spans="1:34" ht="15.75">
      <c r="A214" s="232"/>
      <c r="B214" s="231"/>
      <c r="C214" s="231"/>
      <c r="D214" s="230"/>
      <c r="E214" s="231"/>
      <c r="F214" s="249"/>
      <c r="G214" s="231"/>
      <c r="H214" s="237"/>
      <c r="I214" s="237"/>
      <c r="J214" s="250"/>
      <c r="K214" s="239"/>
      <c r="L214" s="237"/>
      <c r="M214" s="350"/>
      <c r="N214" s="241" t="s">
        <v>412</v>
      </c>
      <c r="O214" s="242">
        <v>51</v>
      </c>
      <c r="P214" s="299">
        <v>12556</v>
      </c>
      <c r="Q214" s="243" t="s">
        <v>163</v>
      </c>
      <c r="R214" s="299">
        <v>2281</v>
      </c>
      <c r="S214" s="300" t="s">
        <v>80</v>
      </c>
      <c r="T214" s="244">
        <f>SUM(T211:T213)</f>
        <v>2300</v>
      </c>
      <c r="U214" s="251">
        <f>SUM(U211:U213)</f>
        <v>12481.537060000002</v>
      </c>
      <c r="V214" s="403">
        <f>SUM(V211:V213)</f>
        <v>26831.800000000003</v>
      </c>
      <c r="W214" s="251">
        <f>SUM(W211:W213)</f>
        <v>340699.27</v>
      </c>
      <c r="X214" s="323"/>
      <c r="Y214" s="245"/>
      <c r="Z214" s="245"/>
      <c r="AA214" s="245"/>
      <c r="AB214" s="323"/>
      <c r="AC214" s="402"/>
      <c r="AD214" s="403">
        <f>U214</f>
        <v>12481.537060000002</v>
      </c>
      <c r="AE214" s="12"/>
      <c r="AF214" s="12"/>
      <c r="AG214" s="12"/>
      <c r="AH214" s="12"/>
    </row>
    <row r="215" spans="2:34" ht="15.75">
      <c r="B215" s="126"/>
      <c r="C215" s="225"/>
      <c r="D215" s="226"/>
      <c r="E215" s="225"/>
      <c r="F215" s="252"/>
      <c r="G215" s="225"/>
      <c r="H215" s="222"/>
      <c r="I215" s="222"/>
      <c r="J215" s="223"/>
      <c r="K215" s="224"/>
      <c r="L215" s="222"/>
      <c r="M215" s="346"/>
      <c r="N215" s="327"/>
      <c r="P215" s="292"/>
      <c r="Q215" s="105"/>
      <c r="R215" s="107"/>
      <c r="S215" s="285"/>
      <c r="T215" s="593"/>
      <c r="U215" s="607"/>
      <c r="V215" s="463"/>
      <c r="W215" s="316"/>
      <c r="X215" s="316"/>
      <c r="Y215" s="108"/>
      <c r="Z215" s="108"/>
      <c r="AA215" s="108"/>
      <c r="AB215" s="108"/>
      <c r="AC215" s="108"/>
      <c r="AD215" s="132"/>
      <c r="AE215" s="12"/>
      <c r="AF215" s="12"/>
      <c r="AG215" s="12"/>
      <c r="AH215" s="12"/>
    </row>
    <row r="216" spans="2:34" ht="15.75">
      <c r="B216" s="126"/>
      <c r="C216" s="126"/>
      <c r="D216" s="253"/>
      <c r="E216" s="126"/>
      <c r="F216" s="252"/>
      <c r="G216" s="126"/>
      <c r="H216" s="254"/>
      <c r="I216" s="254"/>
      <c r="J216" s="103"/>
      <c r="K216" s="254"/>
      <c r="L216" s="254"/>
      <c r="M216" s="344"/>
      <c r="N216" s="326"/>
      <c r="P216" s="292"/>
      <c r="Q216" s="105"/>
      <c r="R216" s="107"/>
      <c r="S216" s="285"/>
      <c r="T216" s="593"/>
      <c r="U216" s="607"/>
      <c r="V216" s="463"/>
      <c r="W216" s="316"/>
      <c r="X216" s="316"/>
      <c r="Y216" s="108"/>
      <c r="Z216" s="108"/>
      <c r="AA216" s="108"/>
      <c r="AB216" s="108"/>
      <c r="AC216" s="108"/>
      <c r="AD216" s="132"/>
      <c r="AE216" s="12"/>
      <c r="AF216" s="12"/>
      <c r="AG216" s="12"/>
      <c r="AH216" s="12"/>
    </row>
    <row r="217" spans="1:34" ht="15.75">
      <c r="A217" s="232" t="s">
        <v>25</v>
      </c>
      <c r="B217" s="233">
        <v>534</v>
      </c>
      <c r="C217" s="233">
        <v>2112</v>
      </c>
      <c r="D217" s="234" t="s">
        <v>295</v>
      </c>
      <c r="E217" s="233">
        <v>114</v>
      </c>
      <c r="F217" s="255">
        <v>23582</v>
      </c>
      <c r="G217" s="236">
        <v>3</v>
      </c>
      <c r="H217" s="237"/>
      <c r="I217" s="237"/>
      <c r="J217" s="238"/>
      <c r="K217" s="239"/>
      <c r="L217" s="237"/>
      <c r="M217" s="350"/>
      <c r="N217" s="331">
        <f>U220</f>
        <v>12001.20405</v>
      </c>
      <c r="O217" s="256">
        <v>114</v>
      </c>
      <c r="P217" s="301">
        <v>11615</v>
      </c>
      <c r="Q217" s="243" t="s">
        <v>414</v>
      </c>
      <c r="R217" s="300">
        <v>820</v>
      </c>
      <c r="S217" s="290" t="s">
        <v>254</v>
      </c>
      <c r="T217" s="258">
        <v>850</v>
      </c>
      <c r="U217" s="323">
        <f>V217-Y217+Z217-AA217-AB217-AC217</f>
        <v>4984.40915</v>
      </c>
      <c r="V217" s="402">
        <f>T217*$V$4</f>
        <v>9916.1</v>
      </c>
      <c r="W217" s="323">
        <v>114296</v>
      </c>
      <c r="X217" s="323"/>
      <c r="Y217" s="245">
        <f>W217*$Y$4</f>
        <v>3428.8799999999997</v>
      </c>
      <c r="Z217" s="245">
        <f>W217*$Z$4</f>
        <v>1943.0320000000002</v>
      </c>
      <c r="AA217" s="245">
        <f>W217*$AA$4</f>
        <v>1828.736</v>
      </c>
      <c r="AB217" s="323">
        <f>W217*$AB$4</f>
        <v>342.88800000000003</v>
      </c>
      <c r="AC217" s="402">
        <f>V217*$AC$4</f>
        <v>1274.21885</v>
      </c>
      <c r="AD217" s="403"/>
      <c r="AE217" s="12"/>
      <c r="AF217" s="12"/>
      <c r="AG217" s="12"/>
      <c r="AH217" s="12"/>
    </row>
    <row r="218" spans="1:34" ht="15.75">
      <c r="A218" s="232"/>
      <c r="B218" s="231"/>
      <c r="C218" s="231"/>
      <c r="D218" s="230"/>
      <c r="E218" s="231"/>
      <c r="F218" s="247"/>
      <c r="G218" s="231"/>
      <c r="H218" s="237"/>
      <c r="I218" s="237"/>
      <c r="J218" s="237"/>
      <c r="K218" s="237"/>
      <c r="L218" s="237"/>
      <c r="M218" s="350"/>
      <c r="N218" s="331"/>
      <c r="O218" s="256"/>
      <c r="P218" s="301">
        <v>7040</v>
      </c>
      <c r="Q218" s="243" t="s">
        <v>414</v>
      </c>
      <c r="R218" s="300">
        <v>510</v>
      </c>
      <c r="S218" s="290" t="s">
        <v>254</v>
      </c>
      <c r="T218" s="258">
        <v>600</v>
      </c>
      <c r="U218" s="323">
        <f>V218-Y218+Z218-AA218-AB218-AC218</f>
        <v>3649.0153999999998</v>
      </c>
      <c r="V218" s="402">
        <f>T218*$V$4</f>
        <v>6999.6</v>
      </c>
      <c r="W218" s="323">
        <v>76598</v>
      </c>
      <c r="X218" s="323"/>
      <c r="Y218" s="245">
        <f>W218*$Y$4</f>
        <v>2297.94</v>
      </c>
      <c r="Z218" s="245">
        <f>W218*$Z$4</f>
        <v>1302.1660000000002</v>
      </c>
      <c r="AA218" s="245">
        <f>W218*$AA$4</f>
        <v>1225.568</v>
      </c>
      <c r="AB218" s="323">
        <f>W218*$AB$4</f>
        <v>229.794</v>
      </c>
      <c r="AC218" s="402">
        <f>V218*$AC$4</f>
        <v>899.4486</v>
      </c>
      <c r="AD218" s="403"/>
      <c r="AE218" s="12"/>
      <c r="AF218" s="12"/>
      <c r="AG218" s="12"/>
      <c r="AH218" s="12"/>
    </row>
    <row r="219" spans="1:34" ht="15.75">
      <c r="A219" s="232"/>
      <c r="B219" s="240"/>
      <c r="C219" s="240"/>
      <c r="D219" s="240"/>
      <c r="E219" s="240"/>
      <c r="F219" s="240"/>
      <c r="G219" s="240"/>
      <c r="H219" s="250"/>
      <c r="I219" s="250"/>
      <c r="J219" s="250"/>
      <c r="K219" s="250"/>
      <c r="L219" s="250"/>
      <c r="M219" s="350"/>
      <c r="N219" s="332"/>
      <c r="O219" s="256"/>
      <c r="P219" s="301">
        <v>4927</v>
      </c>
      <c r="Q219" s="243" t="s">
        <v>251</v>
      </c>
      <c r="R219" s="300">
        <v>360</v>
      </c>
      <c r="S219" s="290" t="s">
        <v>81</v>
      </c>
      <c r="T219" s="258">
        <v>500</v>
      </c>
      <c r="U219" s="323">
        <f>V219-Y219+Z219-AA219-AB219-AC219</f>
        <v>3367.7794999999996</v>
      </c>
      <c r="V219" s="402">
        <f>T219*$V$4</f>
        <v>5833</v>
      </c>
      <c r="W219" s="323">
        <v>53615</v>
      </c>
      <c r="X219" s="323"/>
      <c r="Y219" s="245">
        <f>W219*$Y$4</f>
        <v>1608.45</v>
      </c>
      <c r="Z219" s="245">
        <f>W219*$Z$4</f>
        <v>911.455</v>
      </c>
      <c r="AA219" s="245">
        <f>W219*$AA$4</f>
        <v>857.84</v>
      </c>
      <c r="AB219" s="323">
        <f>W219*$AB$4</f>
        <v>160.845</v>
      </c>
      <c r="AC219" s="402">
        <f>V219*$AC$4</f>
        <v>749.5405000000001</v>
      </c>
      <c r="AD219" s="403"/>
      <c r="AE219" s="12"/>
      <c r="AF219" s="12"/>
      <c r="AG219" s="12"/>
      <c r="AH219" s="12"/>
    </row>
    <row r="220" spans="1:34" ht="15.75">
      <c r="A220" s="232"/>
      <c r="B220" s="248"/>
      <c r="C220" s="248"/>
      <c r="D220" s="248"/>
      <c r="E220" s="248"/>
      <c r="F220" s="248"/>
      <c r="G220" s="248"/>
      <c r="H220" s="238"/>
      <c r="I220" s="238"/>
      <c r="J220" s="238"/>
      <c r="K220" s="238"/>
      <c r="L220" s="238"/>
      <c r="M220" s="351"/>
      <c r="N220" s="259" t="s">
        <v>412</v>
      </c>
      <c r="O220" s="256"/>
      <c r="P220" s="302">
        <v>23582</v>
      </c>
      <c r="Q220" s="592" t="s">
        <v>73</v>
      </c>
      <c r="R220" s="299">
        <f>SUM(R217:R219)</f>
        <v>1690</v>
      </c>
      <c r="S220" s="290"/>
      <c r="T220" s="244">
        <f>SUM(T217:T219)</f>
        <v>1950</v>
      </c>
      <c r="U220" s="251">
        <f>SUM(U217:U219)</f>
        <v>12001.20405</v>
      </c>
      <c r="V220" s="403">
        <f>SUM(V217:V219)</f>
        <v>22748.7</v>
      </c>
      <c r="W220" s="251">
        <f>SUM(W217:W219)</f>
        <v>244509</v>
      </c>
      <c r="X220" s="323"/>
      <c r="Y220" s="257"/>
      <c r="Z220" s="257"/>
      <c r="AA220" s="257"/>
      <c r="AB220" s="257"/>
      <c r="AC220" s="257"/>
      <c r="AD220" s="403">
        <f>U220</f>
        <v>12001.20405</v>
      </c>
      <c r="AE220" s="12"/>
      <c r="AF220" s="12"/>
      <c r="AG220" s="12"/>
      <c r="AH220" s="12"/>
    </row>
    <row r="221" spans="2:34" ht="15.75">
      <c r="B221" s="100"/>
      <c r="C221" s="100"/>
      <c r="D221" s="100"/>
      <c r="E221" s="100"/>
      <c r="F221" s="100"/>
      <c r="G221" s="100"/>
      <c r="H221" s="103"/>
      <c r="I221" s="103"/>
      <c r="J221" s="103"/>
      <c r="K221" s="103"/>
      <c r="L221" s="103"/>
      <c r="M221" s="339"/>
      <c r="N221" s="191"/>
      <c r="P221" s="292"/>
      <c r="Q221" s="106"/>
      <c r="R221" s="107"/>
      <c r="S221" s="285"/>
      <c r="T221" s="593"/>
      <c r="U221" s="607"/>
      <c r="V221" s="463"/>
      <c r="W221" s="316"/>
      <c r="X221" s="316"/>
      <c r="Y221" s="108"/>
      <c r="Z221" s="108"/>
      <c r="AA221" s="108"/>
      <c r="AB221" s="108"/>
      <c r="AC221" s="108"/>
      <c r="AD221" s="132"/>
      <c r="AE221" s="12"/>
      <c r="AF221" s="12"/>
      <c r="AG221" s="12"/>
      <c r="AH221" s="12"/>
    </row>
    <row r="222" spans="1:34" ht="15.75">
      <c r="A222" s="232" t="s">
        <v>75</v>
      </c>
      <c r="B222" s="233">
        <v>602</v>
      </c>
      <c r="C222" s="233">
        <v>2217</v>
      </c>
      <c r="D222" s="234" t="s">
        <v>55</v>
      </c>
      <c r="E222" s="233" t="s">
        <v>76</v>
      </c>
      <c r="F222" s="255">
        <v>14312</v>
      </c>
      <c r="G222" s="236">
        <v>2</v>
      </c>
      <c r="H222" s="237"/>
      <c r="I222" s="237"/>
      <c r="J222" s="237"/>
      <c r="K222" s="237"/>
      <c r="L222" s="237"/>
      <c r="M222" s="350"/>
      <c r="N222" s="331">
        <f>U224</f>
        <v>7949.479475</v>
      </c>
      <c r="O222" s="256">
        <v>1</v>
      </c>
      <c r="P222" s="303">
        <v>10164</v>
      </c>
      <c r="Q222" s="256" t="s">
        <v>252</v>
      </c>
      <c r="R222" s="300">
        <v>1225</v>
      </c>
      <c r="S222" s="290" t="s">
        <v>24</v>
      </c>
      <c r="T222" s="258">
        <v>1025</v>
      </c>
      <c r="U222" s="323">
        <f>V222-Y222+Z222-AA222-AB222-AC222</f>
        <v>5317.155975</v>
      </c>
      <c r="V222" s="402">
        <f>T222*$V$4</f>
        <v>11957.65</v>
      </c>
      <c r="W222" s="323">
        <v>159498</v>
      </c>
      <c r="X222" s="323"/>
      <c r="Y222" s="245">
        <f>W222*$Y$4</f>
        <v>4784.94</v>
      </c>
      <c r="Z222" s="245">
        <f>W222*$Z$4</f>
        <v>2711.4660000000003</v>
      </c>
      <c r="AA222" s="245">
        <f>W222*$AA$4</f>
        <v>2551.968</v>
      </c>
      <c r="AB222" s="323">
        <f>W222*$AB$4</f>
        <v>478.494</v>
      </c>
      <c r="AC222" s="402">
        <f>V222*$AC$4</f>
        <v>1536.558025</v>
      </c>
      <c r="AD222" s="403"/>
      <c r="AE222" s="12"/>
      <c r="AF222" s="12"/>
      <c r="AG222" s="12"/>
      <c r="AH222" s="12"/>
    </row>
    <row r="223" spans="1:34" ht="15.75">
      <c r="A223" s="232"/>
      <c r="B223" s="231"/>
      <c r="C223" s="231"/>
      <c r="D223" s="230"/>
      <c r="E223" s="231"/>
      <c r="F223" s="247"/>
      <c r="G223" s="231"/>
      <c r="H223" s="237"/>
      <c r="I223" s="237"/>
      <c r="J223" s="237"/>
      <c r="K223" s="237"/>
      <c r="L223" s="237"/>
      <c r="M223" s="350"/>
      <c r="N223" s="331"/>
      <c r="O223" s="256">
        <v>2</v>
      </c>
      <c r="P223" s="303">
        <v>4148</v>
      </c>
      <c r="Q223" s="256" t="s">
        <v>107</v>
      </c>
      <c r="R223" s="300">
        <v>500</v>
      </c>
      <c r="S223" s="290" t="s">
        <v>24</v>
      </c>
      <c r="T223" s="258">
        <v>500</v>
      </c>
      <c r="U223" s="323">
        <f>V223-Y223+Z223-AA223-AB223-AC223</f>
        <v>2632.3235000000004</v>
      </c>
      <c r="V223" s="402">
        <f>T223*$V$4</f>
        <v>5833</v>
      </c>
      <c r="W223" s="323">
        <v>76598</v>
      </c>
      <c r="X223" s="323"/>
      <c r="Y223" s="245">
        <f>W223*$Y$4</f>
        <v>2297.94</v>
      </c>
      <c r="Z223" s="245">
        <f>W223*$Z$4</f>
        <v>1302.1660000000002</v>
      </c>
      <c r="AA223" s="245">
        <f>W223*$AA$4</f>
        <v>1225.568</v>
      </c>
      <c r="AB223" s="323">
        <f>W223*$AB$4</f>
        <v>229.794</v>
      </c>
      <c r="AC223" s="402">
        <f>V223*$AC$4</f>
        <v>749.5405000000001</v>
      </c>
      <c r="AD223" s="403"/>
      <c r="AE223" s="12"/>
      <c r="AF223" s="12"/>
      <c r="AG223" s="12"/>
      <c r="AH223" s="12"/>
    </row>
    <row r="224" spans="1:34" ht="15.75">
      <c r="A224" s="232"/>
      <c r="B224" s="231"/>
      <c r="C224" s="231"/>
      <c r="D224" s="230"/>
      <c r="E224" s="231"/>
      <c r="F224" s="247"/>
      <c r="G224" s="231"/>
      <c r="H224" s="237"/>
      <c r="I224" s="237"/>
      <c r="J224" s="237"/>
      <c r="K224" s="237"/>
      <c r="L224" s="237"/>
      <c r="M224" s="350"/>
      <c r="N224" s="241" t="s">
        <v>77</v>
      </c>
      <c r="O224" s="256" t="s">
        <v>78</v>
      </c>
      <c r="P224" s="305">
        <f>SUM(P222:P223)</f>
        <v>14312</v>
      </c>
      <c r="Q224" s="592" t="s">
        <v>73</v>
      </c>
      <c r="R224" s="299">
        <f>SUM(R222:R223)</f>
        <v>1725</v>
      </c>
      <c r="S224" s="290"/>
      <c r="T224" s="244">
        <f>SUM(T222:T223)</f>
        <v>1525</v>
      </c>
      <c r="U224" s="251">
        <f>SUM(U222:U223)</f>
        <v>7949.479475</v>
      </c>
      <c r="V224" s="403">
        <f>SUM(V222:V223)</f>
        <v>17790.65</v>
      </c>
      <c r="W224" s="251">
        <f>SUM(W222:W223)</f>
        <v>236096</v>
      </c>
      <c r="X224" s="323"/>
      <c r="Y224" s="257"/>
      <c r="Z224" s="257"/>
      <c r="AA224" s="257"/>
      <c r="AB224" s="257"/>
      <c r="AC224" s="257"/>
      <c r="AD224" s="403">
        <f>U224</f>
        <v>7949.479475</v>
      </c>
      <c r="AE224" s="12"/>
      <c r="AF224" s="12"/>
      <c r="AG224" s="12"/>
      <c r="AH224" s="12"/>
    </row>
    <row r="225" spans="2:34" ht="15.75">
      <c r="B225" s="100"/>
      <c r="C225" s="100"/>
      <c r="D225" s="100"/>
      <c r="E225" s="100"/>
      <c r="F225" s="100"/>
      <c r="G225" s="100"/>
      <c r="H225" s="103"/>
      <c r="I225" s="103"/>
      <c r="J225" s="103"/>
      <c r="K225" s="103"/>
      <c r="L225" s="103"/>
      <c r="M225" s="339"/>
      <c r="N225" s="327"/>
      <c r="P225" s="292"/>
      <c r="Q225" s="106"/>
      <c r="R225" s="107"/>
      <c r="S225" s="285"/>
      <c r="T225" s="593"/>
      <c r="U225" s="607"/>
      <c r="V225" s="463"/>
      <c r="W225" s="316"/>
      <c r="X225" s="316"/>
      <c r="Y225" s="108"/>
      <c r="Z225" s="108"/>
      <c r="AA225" s="108"/>
      <c r="AB225" s="108"/>
      <c r="AC225" s="108"/>
      <c r="AD225" s="132"/>
      <c r="AE225" s="12"/>
      <c r="AF225" s="12"/>
      <c r="AG225" s="12"/>
      <c r="AH225" s="12"/>
    </row>
    <row r="226" spans="17:34" ht="15.75">
      <c r="Q226" s="571"/>
      <c r="T226" s="610"/>
      <c r="U226" s="608"/>
      <c r="AD226" s="132"/>
      <c r="AE226" s="12"/>
      <c r="AF226" s="12"/>
      <c r="AG226" s="12"/>
      <c r="AH226" s="12"/>
    </row>
    <row r="227" spans="1:34" ht="15.75">
      <c r="A227" s="232" t="s">
        <v>339</v>
      </c>
      <c r="B227" s="232"/>
      <c r="C227" s="232"/>
      <c r="D227" s="232"/>
      <c r="E227" s="232"/>
      <c r="F227" s="232"/>
      <c r="G227" s="232"/>
      <c r="H227" s="260"/>
      <c r="I227" s="260"/>
      <c r="J227" s="260"/>
      <c r="K227" s="260"/>
      <c r="L227" s="260"/>
      <c r="M227" s="353"/>
      <c r="N227" s="561">
        <f>U230</f>
        <v>8158.304150000002</v>
      </c>
      <c r="O227" s="256"/>
      <c r="P227" s="304"/>
      <c r="Q227" s="573"/>
      <c r="R227" s="261"/>
      <c r="S227" s="291"/>
      <c r="T227" s="262"/>
      <c r="U227" s="246"/>
      <c r="V227" s="404"/>
      <c r="W227" s="324"/>
      <c r="X227" s="324"/>
      <c r="Y227" s="246"/>
      <c r="Z227" s="246"/>
      <c r="AA227" s="246"/>
      <c r="AB227" s="246"/>
      <c r="AC227" s="246"/>
      <c r="AD227" s="403"/>
      <c r="AE227" s="12"/>
      <c r="AF227" s="12"/>
      <c r="AG227" s="12"/>
      <c r="AH227" s="12"/>
    </row>
    <row r="228" spans="1:34" ht="15.75">
      <c r="A228" s="232"/>
      <c r="B228" s="233">
        <v>572</v>
      </c>
      <c r="C228" s="233">
        <v>2111</v>
      </c>
      <c r="D228" s="234" t="s">
        <v>68</v>
      </c>
      <c r="E228" s="233">
        <v>132</v>
      </c>
      <c r="F228" s="255">
        <v>10624</v>
      </c>
      <c r="G228" s="236">
        <v>2</v>
      </c>
      <c r="H228" s="237"/>
      <c r="I228" s="237"/>
      <c r="J228" s="237"/>
      <c r="K228" s="237"/>
      <c r="L228" s="237"/>
      <c r="M228" s="350"/>
      <c r="N228" s="333"/>
      <c r="O228" s="256">
        <v>1</v>
      </c>
      <c r="P228" s="303">
        <v>8304</v>
      </c>
      <c r="Q228" s="256" t="s">
        <v>108</v>
      </c>
      <c r="R228" s="300">
        <v>1700</v>
      </c>
      <c r="S228" s="290" t="s">
        <v>340</v>
      </c>
      <c r="T228" s="258">
        <v>1325</v>
      </c>
      <c r="U228" s="323">
        <f>V228-Y228+Z228-AA228-AB228-AC228</f>
        <v>5149.311675</v>
      </c>
      <c r="V228" s="402">
        <f>T228*$V$4</f>
        <v>15457.45</v>
      </c>
      <c r="W228" s="323">
        <v>260058</v>
      </c>
      <c r="X228" s="323"/>
      <c r="Y228" s="245">
        <f>W228*$Y$4</f>
        <v>7801.74</v>
      </c>
      <c r="Z228" s="245">
        <f>W228*$Z$4</f>
        <v>4420.986</v>
      </c>
      <c r="AA228" s="245">
        <f>W228*$AA$4</f>
        <v>4160.928</v>
      </c>
      <c r="AB228" s="323">
        <f>W228*$AB$4</f>
        <v>780.174</v>
      </c>
      <c r="AC228" s="402">
        <f>V228*$AC$4</f>
        <v>1986.2823250000001</v>
      </c>
      <c r="AD228" s="403">
        <f>N228+U228</f>
        <v>5149.311675</v>
      </c>
      <c r="AE228" s="12"/>
      <c r="AF228" s="12"/>
      <c r="AG228" s="12"/>
      <c r="AH228" s="12"/>
    </row>
    <row r="229" spans="1:34" ht="15.75">
      <c r="A229" s="232"/>
      <c r="B229" s="231"/>
      <c r="C229" s="231"/>
      <c r="D229" s="230"/>
      <c r="E229" s="231"/>
      <c r="F229" s="247"/>
      <c r="G229" s="231"/>
      <c r="H229" s="237"/>
      <c r="I229" s="237"/>
      <c r="J229" s="237"/>
      <c r="K229" s="237"/>
      <c r="L229" s="237"/>
      <c r="M229" s="350"/>
      <c r="N229" s="331"/>
      <c r="O229" s="256">
        <v>2</v>
      </c>
      <c r="P229" s="303">
        <v>2320</v>
      </c>
      <c r="Q229" s="256" t="s">
        <v>109</v>
      </c>
      <c r="R229" s="300">
        <v>475</v>
      </c>
      <c r="S229" s="290" t="s">
        <v>340</v>
      </c>
      <c r="T229" s="258">
        <v>525</v>
      </c>
      <c r="U229" s="323">
        <f>V229-Y229+Z229-AA229-AB229-AC229</f>
        <v>3008.9924750000014</v>
      </c>
      <c r="V229" s="402">
        <f>T229*$V$4</f>
        <v>6124.650000000001</v>
      </c>
      <c r="W229" s="323">
        <v>72770</v>
      </c>
      <c r="X229" s="323"/>
      <c r="Y229" s="245">
        <f>W229*$Y$4</f>
        <v>2183.1</v>
      </c>
      <c r="Z229" s="245">
        <f>W229*$Z$4</f>
        <v>1237.0900000000001</v>
      </c>
      <c r="AA229" s="245">
        <f>W229*$AA$4</f>
        <v>1164.32</v>
      </c>
      <c r="AB229" s="323">
        <f>W229*$AB$4</f>
        <v>218.31</v>
      </c>
      <c r="AC229" s="402">
        <f>V229*$AC$4</f>
        <v>787.0175250000001</v>
      </c>
      <c r="AD229" s="403">
        <f>N229+U229</f>
        <v>3008.9924750000014</v>
      </c>
      <c r="AE229" s="12"/>
      <c r="AF229" s="12"/>
      <c r="AG229" s="12"/>
      <c r="AH229" s="12"/>
    </row>
    <row r="230" spans="1:34" ht="15.75">
      <c r="A230" s="232"/>
      <c r="B230" s="248"/>
      <c r="C230" s="248"/>
      <c r="D230" s="248"/>
      <c r="E230" s="248"/>
      <c r="F230" s="248"/>
      <c r="G230" s="248"/>
      <c r="H230" s="238"/>
      <c r="I230" s="238"/>
      <c r="J230" s="238"/>
      <c r="K230" s="238"/>
      <c r="L230" s="238"/>
      <c r="M230" s="351"/>
      <c r="N230" s="259" t="s">
        <v>77</v>
      </c>
      <c r="O230" s="256">
        <v>132</v>
      </c>
      <c r="P230" s="305">
        <f>SUM(P228:P229)</f>
        <v>10624</v>
      </c>
      <c r="Q230" s="592" t="s">
        <v>73</v>
      </c>
      <c r="R230" s="299">
        <f>SUM(R228:R229)</f>
        <v>2175</v>
      </c>
      <c r="S230" s="290"/>
      <c r="T230" s="244">
        <f>SUM(T228:T229)</f>
        <v>1850</v>
      </c>
      <c r="U230" s="251">
        <f>SUM(U228:U229)</f>
        <v>8158.304150000002</v>
      </c>
      <c r="V230" s="403">
        <f>SUM(V228:V229)</f>
        <v>21582.100000000002</v>
      </c>
      <c r="W230" s="251">
        <f>SUM(W228:W229)</f>
        <v>332828</v>
      </c>
      <c r="X230" s="323"/>
      <c r="Y230" s="251">
        <f>SUM(Y228:Y229)</f>
        <v>9984.84</v>
      </c>
      <c r="Z230" s="257"/>
      <c r="AA230" s="257"/>
      <c r="AB230" s="257"/>
      <c r="AC230" s="257"/>
      <c r="AD230" s="403">
        <f>U230</f>
        <v>8158.304150000002</v>
      </c>
      <c r="AE230" s="12"/>
      <c r="AF230" s="12"/>
      <c r="AG230" s="12"/>
      <c r="AH230" s="12"/>
    </row>
    <row r="231" spans="2:34" ht="15.75">
      <c r="B231" s="100"/>
      <c r="C231" s="100"/>
      <c r="D231" s="100"/>
      <c r="E231" s="100"/>
      <c r="F231" s="100"/>
      <c r="G231" s="100"/>
      <c r="H231" s="103"/>
      <c r="I231" s="103"/>
      <c r="J231" s="103"/>
      <c r="K231" s="103"/>
      <c r="L231" s="103"/>
      <c r="M231" s="339"/>
      <c r="N231" s="191"/>
      <c r="P231" s="292"/>
      <c r="Q231" s="106"/>
      <c r="R231" s="107"/>
      <c r="S231" s="285"/>
      <c r="T231" s="593"/>
      <c r="U231" s="607"/>
      <c r="V231" s="463"/>
      <c r="W231" s="316"/>
      <c r="X231" s="316"/>
      <c r="Y231" s="108"/>
      <c r="Z231" s="108"/>
      <c r="AA231" s="108"/>
      <c r="AB231" s="108"/>
      <c r="AC231" s="108"/>
      <c r="AD231" s="132"/>
      <c r="AE231" s="12"/>
      <c r="AF231" s="12"/>
      <c r="AG231" s="12"/>
      <c r="AH231" s="12"/>
    </row>
    <row r="232" spans="1:34" ht="15.75">
      <c r="A232" s="232" t="s">
        <v>143</v>
      </c>
      <c r="B232" s="233">
        <v>626</v>
      </c>
      <c r="C232" s="233">
        <v>2210</v>
      </c>
      <c r="D232" s="234" t="s">
        <v>153</v>
      </c>
      <c r="E232" s="233" t="s">
        <v>30</v>
      </c>
      <c r="F232" s="255">
        <v>12643</v>
      </c>
      <c r="G232" s="236">
        <v>2</v>
      </c>
      <c r="H232" s="237"/>
      <c r="I232" s="237"/>
      <c r="J232" s="237"/>
      <c r="K232" s="237"/>
      <c r="L232" s="237"/>
      <c r="M232" s="350"/>
      <c r="N232" s="579">
        <f>U234</f>
        <v>8273.103275000001</v>
      </c>
      <c r="O232" s="242">
        <v>1</v>
      </c>
      <c r="P232" s="299">
        <v>6827</v>
      </c>
      <c r="Q232" s="243" t="s">
        <v>110</v>
      </c>
      <c r="R232" s="300">
        <v>950</v>
      </c>
      <c r="S232" s="299" t="s">
        <v>331</v>
      </c>
      <c r="T232" s="258">
        <v>925</v>
      </c>
      <c r="U232" s="323">
        <f>V232-Y232+Z232-AA232-AB232-AC232</f>
        <v>3901.520075</v>
      </c>
      <c r="V232" s="402">
        <f>T232*$V$4</f>
        <v>10791.050000000001</v>
      </c>
      <c r="W232" s="323">
        <v>171965</v>
      </c>
      <c r="X232" s="323"/>
      <c r="Y232" s="245">
        <f>W232*$Y$4</f>
        <v>5158.95</v>
      </c>
      <c r="Z232" s="245">
        <f>W232*$Z$4</f>
        <v>2923.405</v>
      </c>
      <c r="AA232" s="245">
        <f>W232*$AA$4</f>
        <v>2751.44</v>
      </c>
      <c r="AB232" s="323">
        <f>W232*$AB$4</f>
        <v>515.895</v>
      </c>
      <c r="AC232" s="402">
        <f>V232*$AC$4</f>
        <v>1386.6499250000002</v>
      </c>
      <c r="AD232" s="403">
        <f>N232+U232</f>
        <v>12174.623350000002</v>
      </c>
      <c r="AE232" s="12"/>
      <c r="AF232" s="12"/>
      <c r="AG232" s="12"/>
      <c r="AH232" s="12"/>
    </row>
    <row r="233" spans="1:34" ht="15.75">
      <c r="A233" s="232"/>
      <c r="B233" s="231"/>
      <c r="C233" s="231"/>
      <c r="D233" s="230"/>
      <c r="E233" s="231"/>
      <c r="F233" s="247"/>
      <c r="G233" s="231"/>
      <c r="H233" s="237"/>
      <c r="I233" s="237"/>
      <c r="J233" s="237"/>
      <c r="K233" s="237"/>
      <c r="L233" s="263"/>
      <c r="M233" s="350"/>
      <c r="N233" s="331"/>
      <c r="O233" s="242">
        <v>2</v>
      </c>
      <c r="P233" s="299">
        <v>5816</v>
      </c>
      <c r="Q233" s="243" t="s">
        <v>111</v>
      </c>
      <c r="R233" s="300">
        <v>800</v>
      </c>
      <c r="S233" s="299" t="s">
        <v>331</v>
      </c>
      <c r="T233" s="258">
        <v>800</v>
      </c>
      <c r="U233" s="323">
        <f>V233-Y233+Z233-AA233-AB233-AC233</f>
        <v>4371.583200000001</v>
      </c>
      <c r="V233" s="402">
        <f>T233*$V$4</f>
        <v>9332.800000000001</v>
      </c>
      <c r="W233" s="323">
        <v>117561</v>
      </c>
      <c r="X233" s="323"/>
      <c r="Y233" s="245">
        <f>W233*$Y$4</f>
        <v>3526.83</v>
      </c>
      <c r="Z233" s="245">
        <f>W233*$Z$4</f>
        <v>1998.537</v>
      </c>
      <c r="AA233" s="245">
        <f>W233*$AA$4</f>
        <v>1880.976</v>
      </c>
      <c r="AB233" s="323">
        <f>W233*$AB$4</f>
        <v>352.683</v>
      </c>
      <c r="AC233" s="402">
        <f>V233*$AC$4</f>
        <v>1199.2648000000002</v>
      </c>
      <c r="AD233" s="403">
        <f>N233+U233</f>
        <v>4371.583200000001</v>
      </c>
      <c r="AE233" s="12"/>
      <c r="AF233" s="12"/>
      <c r="AG233" s="12"/>
      <c r="AH233" s="12"/>
    </row>
    <row r="234" spans="1:34" ht="15.75">
      <c r="A234" s="232"/>
      <c r="B234" s="248"/>
      <c r="C234" s="248"/>
      <c r="D234" s="248"/>
      <c r="E234" s="248"/>
      <c r="F234" s="248"/>
      <c r="G234" s="248"/>
      <c r="H234" s="238"/>
      <c r="I234" s="238"/>
      <c r="J234" s="238"/>
      <c r="K234" s="238"/>
      <c r="L234" s="238"/>
      <c r="M234" s="351"/>
      <c r="N234" s="259" t="s">
        <v>34</v>
      </c>
      <c r="O234" s="242" t="s">
        <v>35</v>
      </c>
      <c r="P234" s="299">
        <f>SUM(P232:P233)</f>
        <v>12643</v>
      </c>
      <c r="Q234" s="592" t="s">
        <v>73</v>
      </c>
      <c r="R234" s="299">
        <f>SUM(R232:R233)</f>
        <v>1750</v>
      </c>
      <c r="S234" s="290"/>
      <c r="T234" s="244">
        <f>SUM(T232:T233)</f>
        <v>1725</v>
      </c>
      <c r="U234" s="251">
        <f>SUM(U232:U233)</f>
        <v>8273.103275000001</v>
      </c>
      <c r="V234" s="403">
        <f>SUM(V232:V233)</f>
        <v>20123.850000000002</v>
      </c>
      <c r="W234" s="251">
        <f>SUM(W232:W233)</f>
        <v>289526</v>
      </c>
      <c r="X234" s="323"/>
      <c r="Y234" s="257"/>
      <c r="Z234" s="257"/>
      <c r="AA234" s="257"/>
      <c r="AB234" s="257"/>
      <c r="AC234" s="257"/>
      <c r="AD234" s="403">
        <f>U234</f>
        <v>8273.103275000001</v>
      </c>
      <c r="AE234" s="12"/>
      <c r="AF234" s="12"/>
      <c r="AG234" s="12"/>
      <c r="AH234" s="12"/>
    </row>
    <row r="235" spans="2:34" ht="15.75">
      <c r="B235" s="100"/>
      <c r="C235" s="100"/>
      <c r="D235" s="100"/>
      <c r="E235" s="100"/>
      <c r="F235" s="100"/>
      <c r="G235" s="100"/>
      <c r="H235" s="103"/>
      <c r="I235" s="103"/>
      <c r="J235" s="103"/>
      <c r="K235" s="103"/>
      <c r="L235" s="103"/>
      <c r="M235" s="339"/>
      <c r="N235" s="191"/>
      <c r="O235" s="11"/>
      <c r="P235" s="293"/>
      <c r="Q235" s="201"/>
      <c r="R235" s="293"/>
      <c r="S235" s="117"/>
      <c r="T235" s="118"/>
      <c r="U235" s="607"/>
      <c r="V235" s="398"/>
      <c r="W235" s="264"/>
      <c r="X235" s="319"/>
      <c r="Y235" s="203"/>
      <c r="Z235" s="203"/>
      <c r="AA235" s="203"/>
      <c r="AB235" s="203"/>
      <c r="AC235" s="203"/>
      <c r="AD235" s="132"/>
      <c r="AE235" s="12"/>
      <c r="AF235" s="12"/>
      <c r="AG235" s="12"/>
      <c r="AH235" s="12"/>
    </row>
    <row r="236" spans="1:34" ht="15.75">
      <c r="A236" s="232" t="s">
        <v>9</v>
      </c>
      <c r="B236" s="233">
        <v>568</v>
      </c>
      <c r="C236" s="233">
        <v>2119</v>
      </c>
      <c r="D236" s="234" t="s">
        <v>162</v>
      </c>
      <c r="E236" s="233">
        <v>102.5</v>
      </c>
      <c r="F236" s="255">
        <v>13141</v>
      </c>
      <c r="G236" s="236">
        <v>2</v>
      </c>
      <c r="H236" s="237"/>
      <c r="I236" s="237"/>
      <c r="J236" s="237"/>
      <c r="K236" s="237"/>
      <c r="L236" s="237"/>
      <c r="M236" s="350"/>
      <c r="N236" s="331">
        <f>U238</f>
        <v>10700.227650000003</v>
      </c>
      <c r="O236" s="242">
        <v>1</v>
      </c>
      <c r="P236" s="299">
        <v>7227</v>
      </c>
      <c r="Q236" s="242" t="s">
        <v>148</v>
      </c>
      <c r="R236" s="300">
        <v>1400</v>
      </c>
      <c r="S236" s="299" t="s">
        <v>10</v>
      </c>
      <c r="T236" s="258">
        <v>1225</v>
      </c>
      <c r="U236" s="323">
        <f>V236-Y236+Z236-AA236-AB236-AC236</f>
        <v>5368.587775000002</v>
      </c>
      <c r="V236" s="402">
        <f>T236*$V$4</f>
        <v>14290.85</v>
      </c>
      <c r="W236" s="323">
        <v>221434</v>
      </c>
      <c r="X236" s="323"/>
      <c r="Y236" s="245">
        <f>W236*$Y$4</f>
        <v>6643.0199999999995</v>
      </c>
      <c r="Z236" s="245">
        <f>W236*$Z$4</f>
        <v>3764.378</v>
      </c>
      <c r="AA236" s="245">
        <f>W236*$AA$4</f>
        <v>3542.944</v>
      </c>
      <c r="AB236" s="323">
        <f>W236*$AB$4</f>
        <v>664.302</v>
      </c>
      <c r="AC236" s="402">
        <f>V236*$AC$4</f>
        <v>1836.374225</v>
      </c>
      <c r="AD236" s="403">
        <f>N236+U236</f>
        <v>16068.815425000004</v>
      </c>
      <c r="AE236" s="12"/>
      <c r="AF236" s="12"/>
      <c r="AG236" s="12"/>
      <c r="AH236" s="12"/>
    </row>
    <row r="237" spans="1:34" ht="15.75">
      <c r="A237" s="232"/>
      <c r="B237" s="231"/>
      <c r="C237" s="231"/>
      <c r="D237" s="230"/>
      <c r="E237" s="231"/>
      <c r="F237" s="247"/>
      <c r="G237" s="231"/>
      <c r="H237" s="237"/>
      <c r="I237" s="237"/>
      <c r="J237" s="237"/>
      <c r="K237" s="237"/>
      <c r="L237" s="237"/>
      <c r="M237" s="350"/>
      <c r="N237" s="332"/>
      <c r="O237" s="242">
        <v>2</v>
      </c>
      <c r="P237" s="299">
        <v>5913</v>
      </c>
      <c r="Q237" s="242" t="s">
        <v>148</v>
      </c>
      <c r="R237" s="300">
        <v>1150</v>
      </c>
      <c r="S237" s="299" t="s">
        <v>331</v>
      </c>
      <c r="T237" s="258">
        <v>1125</v>
      </c>
      <c r="U237" s="323">
        <f>V237-Y237+Z237-AA237-AB237-AC237</f>
        <v>5331.639875000001</v>
      </c>
      <c r="V237" s="402">
        <f>T237*$V$4</f>
        <v>13124.25</v>
      </c>
      <c r="W237" s="323">
        <v>190817</v>
      </c>
      <c r="X237" s="323"/>
      <c r="Y237" s="245">
        <f>W237*$Y$4</f>
        <v>5724.51</v>
      </c>
      <c r="Z237" s="245">
        <f>W237*$Z$4</f>
        <v>3243.889</v>
      </c>
      <c r="AA237" s="245">
        <f>W237*$AA$4</f>
        <v>3053.072</v>
      </c>
      <c r="AB237" s="323">
        <f>W237*$AB$4</f>
        <v>572.451</v>
      </c>
      <c r="AC237" s="402">
        <f>V237*$AC$4</f>
        <v>1686.4661250000001</v>
      </c>
      <c r="AD237" s="403">
        <f>N237+U237</f>
        <v>5331.639875000001</v>
      </c>
      <c r="AE237" s="12"/>
      <c r="AF237" s="12"/>
      <c r="AG237" s="12"/>
      <c r="AH237" s="12"/>
    </row>
    <row r="238" spans="1:34" ht="15.75">
      <c r="A238" s="232"/>
      <c r="B238" s="248"/>
      <c r="C238" s="248"/>
      <c r="D238" s="248"/>
      <c r="E238" s="248"/>
      <c r="F238" s="248"/>
      <c r="G238" s="248"/>
      <c r="H238" s="238"/>
      <c r="I238" s="238"/>
      <c r="J238" s="238"/>
      <c r="K238" s="238"/>
      <c r="L238" s="238"/>
      <c r="M238" s="351"/>
      <c r="N238" s="259" t="s">
        <v>314</v>
      </c>
      <c r="O238" s="242">
        <v>102.5</v>
      </c>
      <c r="P238" s="299">
        <v>6827</v>
      </c>
      <c r="Q238" s="592" t="s">
        <v>73</v>
      </c>
      <c r="R238" s="299">
        <f>SUM(R236:R237)</f>
        <v>2550</v>
      </c>
      <c r="S238" s="290"/>
      <c r="T238" s="244">
        <f>SUM(T236:T237)</f>
        <v>2350</v>
      </c>
      <c r="U238" s="251">
        <f>SUM(U236:U237)</f>
        <v>10700.227650000003</v>
      </c>
      <c r="V238" s="403">
        <f>SUM(V236:V237)</f>
        <v>27415.1</v>
      </c>
      <c r="W238" s="251">
        <f>SUM(W236:W237)</f>
        <v>412251</v>
      </c>
      <c r="X238" s="323"/>
      <c r="Y238" s="257"/>
      <c r="Z238" s="257"/>
      <c r="AA238" s="257"/>
      <c r="AB238" s="257"/>
      <c r="AC238" s="257"/>
      <c r="AD238" s="403">
        <f>U238</f>
        <v>10700.227650000003</v>
      </c>
      <c r="AE238" s="12"/>
      <c r="AF238" s="12"/>
      <c r="AG238" s="12"/>
      <c r="AH238" s="12"/>
    </row>
    <row r="239" spans="20:34" ht="15.75">
      <c r="T239" s="610"/>
      <c r="U239" s="608"/>
      <c r="AD239" s="132"/>
      <c r="AE239" s="12"/>
      <c r="AF239" s="12"/>
      <c r="AG239" s="12"/>
      <c r="AH239" s="12"/>
    </row>
    <row r="240" spans="1:34" ht="15.75">
      <c r="A240" s="265" t="s">
        <v>315</v>
      </c>
      <c r="B240" s="266">
        <v>551</v>
      </c>
      <c r="C240" s="266">
        <v>2126</v>
      </c>
      <c r="D240" s="267" t="s">
        <v>295</v>
      </c>
      <c r="E240" s="266">
        <v>118</v>
      </c>
      <c r="F240" s="268">
        <v>83476</v>
      </c>
      <c r="G240" s="269">
        <v>1</v>
      </c>
      <c r="H240" s="270"/>
      <c r="I240" s="270"/>
      <c r="J240" s="270"/>
      <c r="K240" s="270"/>
      <c r="L240" s="270"/>
      <c r="M240" s="354"/>
      <c r="N240" s="334">
        <f>U240</f>
        <v>68876.79899999998</v>
      </c>
      <c r="O240" s="271"/>
      <c r="P240" s="306">
        <v>83476</v>
      </c>
      <c r="Q240" s="272" t="s">
        <v>316</v>
      </c>
      <c r="R240" s="273">
        <v>6591</v>
      </c>
      <c r="S240" s="273" t="s">
        <v>331</v>
      </c>
      <c r="T240" s="274">
        <v>9000</v>
      </c>
      <c r="U240" s="325">
        <f>V240-Y240+Z240-AA240-AB240-AC240</f>
        <v>68876.79899999998</v>
      </c>
      <c r="V240" s="557">
        <f>T240*$V$4</f>
        <v>104994</v>
      </c>
      <c r="W240" s="325">
        <v>707046</v>
      </c>
      <c r="X240" s="325"/>
      <c r="Y240" s="275">
        <f>W240*$Y$4</f>
        <v>21211.38</v>
      </c>
      <c r="Z240" s="275">
        <f>W240*$Z$4</f>
        <v>12019.782000000001</v>
      </c>
      <c r="AA240" s="275">
        <f>W240*$AA$4</f>
        <v>11312.736</v>
      </c>
      <c r="AB240" s="325">
        <f>W240*$AB$4</f>
        <v>2121.138</v>
      </c>
      <c r="AC240" s="405">
        <f>V240*$AC$4</f>
        <v>13491.729000000001</v>
      </c>
      <c r="AD240" s="276">
        <f>U240</f>
        <v>68876.79899999998</v>
      </c>
      <c r="AE240" s="12"/>
      <c r="AF240" s="12"/>
      <c r="AG240" s="12"/>
      <c r="AH240" s="12"/>
    </row>
    <row r="241" spans="30:34" ht="15.75">
      <c r="AD241" s="132"/>
      <c r="AE241" s="12"/>
      <c r="AF241" s="12"/>
      <c r="AG241" s="12"/>
      <c r="AH241" s="12"/>
    </row>
    <row r="242" spans="1:34" ht="15.75">
      <c r="A242" s="12"/>
      <c r="B242" s="12"/>
      <c r="AC242" s="558" t="s">
        <v>149</v>
      </c>
      <c r="AD242" s="132">
        <f>SUM(AD6:AD240)</f>
        <v>1717255.2247826946</v>
      </c>
      <c r="AE242" s="12"/>
      <c r="AF242" s="12"/>
      <c r="AG242" s="12"/>
      <c r="AH242" s="12"/>
    </row>
    <row r="243" ht="15.75">
      <c r="AD243" s="132"/>
    </row>
    <row r="244" ht="15.75">
      <c r="AD244" s="132"/>
    </row>
    <row r="245" ht="15.75">
      <c r="AD245" s="132"/>
    </row>
    <row r="246" ht="15.75">
      <c r="AD246" s="132"/>
    </row>
    <row r="247" ht="15.75">
      <c r="AD247" s="132"/>
    </row>
    <row r="248" ht="15.75">
      <c r="AD248" s="132"/>
    </row>
    <row r="249" ht="15.75">
      <c r="AD249" s="132"/>
    </row>
    <row r="250" ht="15.75">
      <c r="AD250" s="132"/>
    </row>
    <row r="251" ht="15.75">
      <c r="AD251" s="132"/>
    </row>
    <row r="252" ht="15.75">
      <c r="AD252" s="132"/>
    </row>
    <row r="253" ht="15.75">
      <c r="AD253" s="132"/>
    </row>
    <row r="254" ht="15.75">
      <c r="AD254" s="132"/>
    </row>
    <row r="255" ht="15.75">
      <c r="AD255" s="132"/>
    </row>
    <row r="256" ht="15.75">
      <c r="AD256" s="132"/>
    </row>
    <row r="257" ht="15.75">
      <c r="AD257" s="132"/>
    </row>
    <row r="258" ht="15.75">
      <c r="AD258" s="132"/>
    </row>
    <row r="259" ht="15.75">
      <c r="AD259" s="132"/>
    </row>
    <row r="260" ht="15.75">
      <c r="AD260" s="132"/>
    </row>
    <row r="261" ht="15.75">
      <c r="AD261" s="132"/>
    </row>
    <row r="262" ht="15.75">
      <c r="AD262" s="132"/>
    </row>
    <row r="263" ht="15.75">
      <c r="AD263" s="132"/>
    </row>
    <row r="264" ht="15.75">
      <c r="AD264" s="132"/>
    </row>
    <row r="265" ht="15.75">
      <c r="AD265" s="132"/>
    </row>
  </sheetData>
  <printOptions gridLines="1"/>
  <pageMargins left="0.5" right="0.5" top="0.5" bottom="0.5" header="0.5" footer="0.5"/>
  <pageSetup orientation="landscape" pageOrder="overThenDown" scale="7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65"/>
  <sheetViews>
    <sheetView tabSelected="1" zoomScale="88" zoomScaleNormal="88" workbookViewId="0" topLeftCell="O1">
      <pane ySplit="5" topLeftCell="BM6" activePane="bottomLeft" state="frozen"/>
      <selection pane="topLeft" activeCell="A1" sqref="A1"/>
      <selection pane="bottomLeft" activeCell="V1" sqref="V1"/>
    </sheetView>
  </sheetViews>
  <sheetFormatPr defaultColWidth="11.421875" defaultRowHeight="12.75"/>
  <cols>
    <col min="1" max="1" width="36.00390625" style="0" customWidth="1"/>
    <col min="3" max="3" width="9.421875" style="0" customWidth="1"/>
    <col min="5" max="5" width="7.8515625" style="0" customWidth="1"/>
    <col min="6" max="6" width="7.7109375" style="0" customWidth="1"/>
    <col min="7" max="7" width="6.140625" style="0" customWidth="1"/>
    <col min="8" max="8" width="5.28125" style="421" customWidth="1"/>
    <col min="9" max="12" width="6.7109375" style="421" customWidth="1"/>
    <col min="13" max="13" width="14.7109375" style="506" customWidth="1"/>
    <col min="14" max="14" width="14.421875" style="190" customWidth="1"/>
    <col min="15" max="15" width="9.140625" style="106" customWidth="1"/>
    <col min="16" max="16" width="10.8515625" style="420" customWidth="1"/>
    <col min="17" max="17" width="18.28125" style="172" customWidth="1"/>
    <col min="18" max="18" width="8.28125" style="173" customWidth="1"/>
    <col min="19" max="19" width="10.8515625" style="286" customWidth="1"/>
    <col min="20" max="20" width="10.8515625" style="174" customWidth="1"/>
    <col min="21" max="21" width="10.8515625" style="110" customWidth="1"/>
    <col min="22" max="22" width="11.140625" style="396" customWidth="1"/>
    <col min="23" max="23" width="11.140625" style="315" customWidth="1"/>
    <col min="24" max="24" width="10.8515625" style="315" customWidth="1"/>
    <col min="25" max="26" width="10.8515625" style="110" customWidth="1"/>
    <col min="27" max="27" width="13.28125" style="110" customWidth="1"/>
    <col min="28" max="28" width="10.8515625" style="110" customWidth="1"/>
    <col min="29" max="29" width="13.421875" style="110" customWidth="1"/>
    <col min="30" max="30" width="14.140625" style="190" customWidth="1"/>
    <col min="40" max="40" width="10.8515625" style="468" customWidth="1"/>
  </cols>
  <sheetData>
    <row r="1" spans="1:41" ht="15.75">
      <c r="A1" s="153"/>
      <c r="B1" s="200"/>
      <c r="C1" s="100"/>
      <c r="D1" s="100"/>
      <c r="E1" s="100"/>
      <c r="F1" s="106" t="s">
        <v>102</v>
      </c>
      <c r="G1" s="116" t="s">
        <v>259</v>
      </c>
      <c r="H1" s="101" t="s">
        <v>205</v>
      </c>
      <c r="I1" s="102" t="s">
        <v>206</v>
      </c>
      <c r="J1" s="512"/>
      <c r="K1" s="582" t="s">
        <v>320</v>
      </c>
      <c r="L1" s="104" t="s">
        <v>202</v>
      </c>
      <c r="M1" s="338"/>
      <c r="N1" s="191"/>
      <c r="P1" s="691" t="s">
        <v>97</v>
      </c>
      <c r="Q1" s="105"/>
      <c r="R1" s="182"/>
      <c r="S1" s="285"/>
      <c r="T1" s="118" t="s">
        <v>93</v>
      </c>
      <c r="U1" s="607"/>
      <c r="V1" s="463"/>
      <c r="W1" s="316"/>
      <c r="X1" s="337" t="s">
        <v>141</v>
      </c>
      <c r="Y1" s="108"/>
      <c r="Z1" s="108"/>
      <c r="AA1" s="108"/>
      <c r="AB1" s="108"/>
      <c r="AC1" s="108"/>
      <c r="AD1" s="109" t="s">
        <v>174</v>
      </c>
      <c r="AE1" s="12"/>
      <c r="AF1" s="12"/>
      <c r="AG1" s="203"/>
      <c r="AH1" s="203"/>
      <c r="AI1" s="464"/>
      <c r="AJ1" s="108"/>
      <c r="AK1" s="108"/>
      <c r="AL1" s="465"/>
      <c r="AM1" s="466"/>
      <c r="AN1" s="467"/>
      <c r="AO1" s="463"/>
    </row>
    <row r="2" spans="1:34" ht="15.75">
      <c r="A2" s="201"/>
      <c r="B2" s="200"/>
      <c r="C2" s="100"/>
      <c r="D2" s="100"/>
      <c r="E2" s="100"/>
      <c r="F2" s="109" t="s">
        <v>101</v>
      </c>
      <c r="G2" s="116" t="s">
        <v>120</v>
      </c>
      <c r="H2" s="101" t="s">
        <v>175</v>
      </c>
      <c r="I2" s="111" t="s">
        <v>291</v>
      </c>
      <c r="J2" s="582" t="s">
        <v>320</v>
      </c>
      <c r="K2" s="112" t="s">
        <v>321</v>
      </c>
      <c r="L2" s="104" t="s">
        <v>265</v>
      </c>
      <c r="M2" s="338"/>
      <c r="N2" s="106"/>
      <c r="P2" s="464" t="s">
        <v>98</v>
      </c>
      <c r="Q2" s="105"/>
      <c r="R2" s="182"/>
      <c r="S2" s="285"/>
      <c r="T2" s="118" t="s">
        <v>94</v>
      </c>
      <c r="U2" s="612" t="s">
        <v>20</v>
      </c>
      <c r="V2" s="463"/>
      <c r="W2" s="113"/>
      <c r="X2" s="580" t="s">
        <v>313</v>
      </c>
      <c r="Y2" s="108"/>
      <c r="Z2" s="108"/>
      <c r="AB2" s="108"/>
      <c r="AC2" s="108"/>
      <c r="AD2" s="109" t="s">
        <v>58</v>
      </c>
      <c r="AE2" s="12"/>
      <c r="AF2" s="12"/>
      <c r="AG2" s="12"/>
      <c r="AH2" s="12"/>
    </row>
    <row r="3" spans="1:34" ht="15.75">
      <c r="A3" s="153"/>
      <c r="B3" s="559"/>
      <c r="C3" s="114"/>
      <c r="D3" s="115"/>
      <c r="E3" s="114"/>
      <c r="F3" s="116" t="s">
        <v>198</v>
      </c>
      <c r="G3" s="121" t="s">
        <v>243</v>
      </c>
      <c r="H3" s="101" t="s">
        <v>260</v>
      </c>
      <c r="I3" s="111" t="s">
        <v>261</v>
      </c>
      <c r="J3" s="583" t="s">
        <v>323</v>
      </c>
      <c r="K3" s="112" t="s">
        <v>262</v>
      </c>
      <c r="L3" s="104" t="s">
        <v>253</v>
      </c>
      <c r="M3" s="339"/>
      <c r="N3" s="122" t="s">
        <v>282</v>
      </c>
      <c r="P3" s="691" t="s">
        <v>99</v>
      </c>
      <c r="Q3" s="117"/>
      <c r="R3" s="578" t="s">
        <v>4</v>
      </c>
      <c r="S3" s="11"/>
      <c r="T3" s="118" t="s">
        <v>95</v>
      </c>
      <c r="U3" s="613" t="s">
        <v>282</v>
      </c>
      <c r="V3" s="394" t="s">
        <v>168</v>
      </c>
      <c r="W3" s="119" t="s">
        <v>346</v>
      </c>
      <c r="X3" s="335" t="s">
        <v>21</v>
      </c>
      <c r="Y3" s="11" t="s">
        <v>17</v>
      </c>
      <c r="Z3" s="120" t="s">
        <v>18</v>
      </c>
      <c r="AA3" s="11" t="s">
        <v>415</v>
      </c>
      <c r="AB3" s="11" t="s">
        <v>57</v>
      </c>
      <c r="AC3" s="11" t="s">
        <v>56</v>
      </c>
      <c r="AD3" s="11" t="s">
        <v>194</v>
      </c>
      <c r="AE3" s="12"/>
      <c r="AF3" s="12"/>
      <c r="AG3" s="12"/>
      <c r="AH3" s="12"/>
    </row>
    <row r="4" spans="1:34" ht="15.75">
      <c r="A4" s="12"/>
      <c r="B4" s="560" t="s">
        <v>195</v>
      </c>
      <c r="F4" s="106" t="s">
        <v>119</v>
      </c>
      <c r="G4" s="572" t="s">
        <v>349</v>
      </c>
      <c r="H4" s="101" t="s">
        <v>267</v>
      </c>
      <c r="I4" s="111" t="s">
        <v>268</v>
      </c>
      <c r="J4" s="112" t="s">
        <v>321</v>
      </c>
      <c r="K4" s="112" t="s">
        <v>333</v>
      </c>
      <c r="L4" s="104" t="s">
        <v>334</v>
      </c>
      <c r="M4" s="340"/>
      <c r="N4" s="122" t="s">
        <v>283</v>
      </c>
      <c r="P4" s="293" t="s">
        <v>100</v>
      </c>
      <c r="Q4" s="11" t="s">
        <v>255</v>
      </c>
      <c r="R4" s="578" t="s">
        <v>5</v>
      </c>
      <c r="S4" s="119"/>
      <c r="T4" s="118" t="s">
        <v>258</v>
      </c>
      <c r="U4" s="613" t="s">
        <v>283</v>
      </c>
      <c r="V4" s="690">
        <v>11.666</v>
      </c>
      <c r="W4" s="119" t="s">
        <v>240</v>
      </c>
      <c r="X4" s="335" t="s">
        <v>208</v>
      </c>
      <c r="Y4" s="120">
        <f>Ctrl!L2</f>
        <v>0.03</v>
      </c>
      <c r="Z4" s="120">
        <f>Ctrl!M2</f>
        <v>0.017</v>
      </c>
      <c r="AA4" s="120">
        <f>Ctrl!N2</f>
        <v>0.016</v>
      </c>
      <c r="AB4" s="123">
        <f>Ctrl!O2</f>
        <v>0.003</v>
      </c>
      <c r="AC4" s="120">
        <f>Ctrl!P2</f>
        <v>0.1285</v>
      </c>
      <c r="AD4" s="11" t="s">
        <v>335</v>
      </c>
      <c r="AE4" s="12"/>
      <c r="AF4" s="12"/>
      <c r="AG4" s="12"/>
      <c r="AH4" s="12"/>
    </row>
    <row r="5" spans="2:34" ht="15.75">
      <c r="B5" s="100"/>
      <c r="C5" s="121" t="s">
        <v>121</v>
      </c>
      <c r="D5" s="124" t="s">
        <v>122</v>
      </c>
      <c r="E5" s="121" t="s">
        <v>66</v>
      </c>
      <c r="F5" s="121" t="s">
        <v>242</v>
      </c>
      <c r="G5" s="570" t="s">
        <v>348</v>
      </c>
      <c r="H5" s="101" t="s">
        <v>244</v>
      </c>
      <c r="I5" s="111" t="s">
        <v>245</v>
      </c>
      <c r="J5" s="112" t="s">
        <v>322</v>
      </c>
      <c r="K5" s="112" t="s">
        <v>123</v>
      </c>
      <c r="L5" s="104" t="s">
        <v>268</v>
      </c>
      <c r="M5" s="339"/>
      <c r="N5" s="106" t="s">
        <v>158</v>
      </c>
      <c r="O5" s="106" t="s">
        <v>6</v>
      </c>
      <c r="P5" s="293" t="s">
        <v>96</v>
      </c>
      <c r="Q5" s="11" t="s">
        <v>344</v>
      </c>
      <c r="R5" s="578" t="s">
        <v>187</v>
      </c>
      <c r="S5" s="11" t="s">
        <v>124</v>
      </c>
      <c r="T5" s="118" t="s">
        <v>394</v>
      </c>
      <c r="U5" s="614" t="s">
        <v>92</v>
      </c>
      <c r="V5" s="394" t="s">
        <v>169</v>
      </c>
      <c r="W5" s="119" t="s">
        <v>16</v>
      </c>
      <c r="X5" s="336" t="s">
        <v>157</v>
      </c>
      <c r="Y5" s="125" t="s">
        <v>12</v>
      </c>
      <c r="Z5" s="125" t="s">
        <v>12</v>
      </c>
      <c r="AA5" s="125" t="s">
        <v>395</v>
      </c>
      <c r="AB5" s="125"/>
      <c r="AC5" s="120" t="s">
        <v>13</v>
      </c>
      <c r="AD5" s="11" t="s">
        <v>142</v>
      </c>
      <c r="AE5" s="12"/>
      <c r="AF5" s="12"/>
      <c r="AG5" s="12"/>
      <c r="AH5" s="12"/>
    </row>
    <row r="6" spans="2:34" ht="15.75">
      <c r="B6" s="126">
        <v>648</v>
      </c>
      <c r="C6" s="127">
        <v>2314</v>
      </c>
      <c r="D6" s="128" t="s">
        <v>87</v>
      </c>
      <c r="E6" s="127">
        <v>60</v>
      </c>
      <c r="F6" s="129">
        <v>7116</v>
      </c>
      <c r="G6" s="127">
        <v>1</v>
      </c>
      <c r="H6" s="130">
        <v>0</v>
      </c>
      <c r="I6" s="130">
        <f>'Per-Ft'!$L$16</f>
        <v>254.17297500000132</v>
      </c>
      <c r="J6" s="130">
        <v>0</v>
      </c>
      <c r="K6" s="130">
        <v>0</v>
      </c>
      <c r="L6" s="131"/>
      <c r="M6" s="341">
        <f>'Per-Ft'!J2</f>
        <v>6494.323575000001</v>
      </c>
      <c r="N6" s="326">
        <f>M6+H6+I6-J6-K6-L6</f>
        <v>6748.496550000003</v>
      </c>
      <c r="P6" s="292"/>
      <c r="Q6" s="105"/>
      <c r="R6" s="107"/>
      <c r="S6" s="285"/>
      <c r="T6" s="593"/>
      <c r="U6" s="607"/>
      <c r="V6" s="463"/>
      <c r="W6" s="316"/>
      <c r="X6" s="316"/>
      <c r="Y6" s="108"/>
      <c r="Z6" s="108"/>
      <c r="AA6" s="108"/>
      <c r="AB6" s="108"/>
      <c r="AC6" s="108"/>
      <c r="AD6" s="132">
        <f aca="true" t="shared" si="0" ref="AD6:AD69">N6+U6</f>
        <v>6748.496550000003</v>
      </c>
      <c r="AE6" s="12"/>
      <c r="AF6" s="12"/>
      <c r="AG6" s="12"/>
      <c r="AH6" s="12"/>
    </row>
    <row r="7" spans="2:40" ht="15.75">
      <c r="B7" s="126">
        <v>624</v>
      </c>
      <c r="C7" s="133">
        <v>2214</v>
      </c>
      <c r="D7" s="134" t="s">
        <v>153</v>
      </c>
      <c r="E7" s="127">
        <v>35</v>
      </c>
      <c r="F7" s="129">
        <v>8271</v>
      </c>
      <c r="G7" s="127">
        <v>1</v>
      </c>
      <c r="H7" s="130">
        <v>0</v>
      </c>
      <c r="I7" s="130">
        <v>0</v>
      </c>
      <c r="J7" s="130">
        <v>0</v>
      </c>
      <c r="K7" s="130">
        <v>0</v>
      </c>
      <c r="L7" s="131"/>
      <c r="M7" s="341">
        <f>'Per-Ft'!$J$3+('Rent-List-adu'!F7-8000)*'Per-Ft'!$H$4</f>
        <v>6596.121541049967</v>
      </c>
      <c r="N7" s="326">
        <f aca="true" t="shared" si="1" ref="N7:N70">M7+H7+I7-J7-K7-L7</f>
        <v>6596.121541049967</v>
      </c>
      <c r="P7" s="292"/>
      <c r="Q7" s="105"/>
      <c r="R7" s="107"/>
      <c r="S7" s="285"/>
      <c r="T7" s="593"/>
      <c r="U7" s="607"/>
      <c r="V7" s="463"/>
      <c r="W7" s="316"/>
      <c r="X7" s="316"/>
      <c r="Y7" s="108"/>
      <c r="Z7" s="108"/>
      <c r="AA7" s="108"/>
      <c r="AB7" s="108"/>
      <c r="AC7" s="108"/>
      <c r="AD7" s="132">
        <f t="shared" si="0"/>
        <v>6596.121541049967</v>
      </c>
      <c r="AE7" s="12"/>
      <c r="AF7" s="12"/>
      <c r="AG7" s="12"/>
      <c r="AH7" s="12"/>
      <c r="AN7"/>
    </row>
    <row r="8" spans="1:40" ht="15.75">
      <c r="A8" s="135" t="s">
        <v>67</v>
      </c>
      <c r="B8" s="136">
        <v>569</v>
      </c>
      <c r="C8" s="136">
        <v>2003</v>
      </c>
      <c r="D8" s="137" t="s">
        <v>68</v>
      </c>
      <c r="E8" s="136">
        <v>127.5</v>
      </c>
      <c r="F8" s="138">
        <v>8718</v>
      </c>
      <c r="G8" s="136">
        <v>2</v>
      </c>
      <c r="H8" s="139">
        <v>0</v>
      </c>
      <c r="I8" s="140">
        <v>0</v>
      </c>
      <c r="J8" s="140">
        <v>0</v>
      </c>
      <c r="K8" s="140">
        <v>0</v>
      </c>
      <c r="L8" s="141"/>
      <c r="M8" s="537">
        <f>'Per-Ft'!$J$3+('Rent-List-adu'!F8-8000)*'Per-Ft'!$H$4</f>
        <v>6635.517771384431</v>
      </c>
      <c r="N8" s="326">
        <f t="shared" si="1"/>
        <v>6635.517771384431</v>
      </c>
      <c r="O8" s="142">
        <v>127.5</v>
      </c>
      <c r="P8" s="294">
        <v>6058</v>
      </c>
      <c r="Q8" s="409" t="s">
        <v>288</v>
      </c>
      <c r="R8" s="144">
        <v>975</v>
      </c>
      <c r="S8" s="154" t="s">
        <v>82</v>
      </c>
      <c r="T8" s="145">
        <v>950</v>
      </c>
      <c r="U8" s="317">
        <f>V8-Y8+Z8-AA8-AB8-AC8</f>
        <v>4687.373050000001</v>
      </c>
      <c r="V8" s="395">
        <f>T8*$V$4</f>
        <v>11082.7</v>
      </c>
      <c r="W8" s="317">
        <v>155350</v>
      </c>
      <c r="X8" s="317"/>
      <c r="Y8" s="146">
        <f>W8*$Y$4</f>
        <v>4660.5</v>
      </c>
      <c r="Z8" s="146">
        <f>W8*$Z$4</f>
        <v>2640.9500000000003</v>
      </c>
      <c r="AA8" s="146">
        <f>W8*$AA$4</f>
        <v>2485.6</v>
      </c>
      <c r="AB8" s="317">
        <f>W8*$AB$4</f>
        <v>466.05</v>
      </c>
      <c r="AC8" s="395">
        <f>V8*$AC$4</f>
        <v>1424.12695</v>
      </c>
      <c r="AD8" s="156">
        <f t="shared" si="0"/>
        <v>11322.890821384433</v>
      </c>
      <c r="AE8" s="12"/>
      <c r="AF8" s="12"/>
      <c r="AG8" s="12"/>
      <c r="AH8" s="12"/>
      <c r="AN8"/>
    </row>
    <row r="9" spans="2:40" ht="15.75">
      <c r="B9" s="126">
        <v>619</v>
      </c>
      <c r="C9" s="127">
        <v>2009</v>
      </c>
      <c r="D9" s="128" t="s">
        <v>164</v>
      </c>
      <c r="E9" s="127">
        <v>24.5</v>
      </c>
      <c r="F9" s="129">
        <v>8997</v>
      </c>
      <c r="G9" s="127">
        <v>1</v>
      </c>
      <c r="H9" s="130">
        <v>0</v>
      </c>
      <c r="I9" s="130">
        <v>0</v>
      </c>
      <c r="J9" s="130">
        <v>0</v>
      </c>
      <c r="K9" s="130">
        <v>0</v>
      </c>
      <c r="L9" s="131"/>
      <c r="M9" s="341">
        <f>'Per-Ft'!$J$3+('Rent-List-adu'!F9-8000)*'Per-Ft'!$H$4</f>
        <v>6660.107364814668</v>
      </c>
      <c r="N9" s="326">
        <f t="shared" si="1"/>
        <v>6660.107364814668</v>
      </c>
      <c r="P9" s="292"/>
      <c r="Q9" s="105"/>
      <c r="R9" s="107"/>
      <c r="S9" s="285"/>
      <c r="T9" s="593"/>
      <c r="U9" s="607"/>
      <c r="V9" s="463"/>
      <c r="W9" s="316"/>
      <c r="X9" s="316"/>
      <c r="Y9" s="108"/>
      <c r="Z9" s="108"/>
      <c r="AA9" s="108"/>
      <c r="AB9" s="108"/>
      <c r="AC9" s="108"/>
      <c r="AD9" s="132">
        <f t="shared" si="0"/>
        <v>6660.107364814668</v>
      </c>
      <c r="AE9" s="12"/>
      <c r="AF9" s="12"/>
      <c r="AG9" s="12"/>
      <c r="AH9" s="12"/>
      <c r="AN9"/>
    </row>
    <row r="10" spans="2:40" ht="15.75">
      <c r="B10" s="147">
        <v>563</v>
      </c>
      <c r="C10" s="147">
        <v>2101</v>
      </c>
      <c r="D10" s="148" t="s">
        <v>162</v>
      </c>
      <c r="E10" s="147">
        <v>101.75</v>
      </c>
      <c r="F10" s="149">
        <v>9335</v>
      </c>
      <c r="G10" s="147">
        <v>1</v>
      </c>
      <c r="H10" s="150">
        <v>0</v>
      </c>
      <c r="I10" s="151">
        <v>0</v>
      </c>
      <c r="J10" s="151">
        <v>0</v>
      </c>
      <c r="K10" s="151">
        <v>0</v>
      </c>
      <c r="L10" s="131"/>
      <c r="M10" s="341">
        <f>'Per-Ft'!$J$4+('Rent-List-adu'!F10-9000)*'Per-Ft'!$H$5</f>
        <v>6689.896022355907</v>
      </c>
      <c r="N10" s="326">
        <f t="shared" si="1"/>
        <v>6689.896022355907</v>
      </c>
      <c r="P10" s="292"/>
      <c r="Q10" s="105"/>
      <c r="R10" s="107"/>
      <c r="S10" s="285"/>
      <c r="T10" s="593"/>
      <c r="U10" s="607"/>
      <c r="V10" s="463"/>
      <c r="W10" s="316"/>
      <c r="X10" s="316"/>
      <c r="Y10" s="108"/>
      <c r="Z10" s="108"/>
      <c r="AA10" s="108"/>
      <c r="AB10" s="108"/>
      <c r="AC10" s="108"/>
      <c r="AD10" s="132">
        <f t="shared" si="0"/>
        <v>6689.896022355907</v>
      </c>
      <c r="AE10" s="12"/>
      <c r="AF10" s="12"/>
      <c r="AG10" s="12"/>
      <c r="AH10" s="12"/>
      <c r="AN10"/>
    </row>
    <row r="11" spans="1:40" ht="15.75">
      <c r="A11" s="135" t="s">
        <v>209</v>
      </c>
      <c r="B11" s="136">
        <v>661</v>
      </c>
      <c r="C11" s="136">
        <v>2318</v>
      </c>
      <c r="D11" s="137" t="s">
        <v>87</v>
      </c>
      <c r="E11" s="136">
        <v>75</v>
      </c>
      <c r="F11" s="138">
        <v>9383</v>
      </c>
      <c r="G11" s="136">
        <v>2</v>
      </c>
      <c r="H11" s="139">
        <v>0</v>
      </c>
      <c r="I11" s="152">
        <f>'Per-Ft'!$L$16</f>
        <v>254.17297500000132</v>
      </c>
      <c r="J11" s="140">
        <v>0</v>
      </c>
      <c r="K11" s="140">
        <v>0</v>
      </c>
      <c r="L11" s="141"/>
      <c r="M11" s="537">
        <f>'Per-Ft'!$J$4+('Rent-List-adu'!F11-9000)*'Per-Ft'!$H$5</f>
        <v>6694.126363128799</v>
      </c>
      <c r="N11" s="326">
        <f t="shared" si="1"/>
        <v>6948.299338128801</v>
      </c>
      <c r="O11" s="142">
        <v>75</v>
      </c>
      <c r="P11" s="294">
        <v>3790</v>
      </c>
      <c r="Q11" s="143" t="s">
        <v>156</v>
      </c>
      <c r="R11" s="144">
        <v>675</v>
      </c>
      <c r="S11" s="154" t="s">
        <v>82</v>
      </c>
      <c r="T11" s="145">
        <v>700</v>
      </c>
      <c r="U11" s="317">
        <f>V11-Y11+Z11-AA11-AB11-AC11</f>
        <v>3807.9473000000007</v>
      </c>
      <c r="V11" s="395">
        <f>T11*$V$4</f>
        <v>8166.2</v>
      </c>
      <c r="W11" s="317">
        <v>103403</v>
      </c>
      <c r="X11" s="317"/>
      <c r="Y11" s="146">
        <f>W11*$Y$4</f>
        <v>3102.0899999999997</v>
      </c>
      <c r="Z11" s="146">
        <f>W11*$Z$4</f>
        <v>1757.851</v>
      </c>
      <c r="AA11" s="146">
        <f>W11*$AA$4</f>
        <v>1654.448</v>
      </c>
      <c r="AB11" s="317">
        <f>W11*$AB$4</f>
        <v>310.209</v>
      </c>
      <c r="AC11" s="395">
        <f>V11*$AC$4</f>
        <v>1049.3567</v>
      </c>
      <c r="AD11" s="156">
        <f t="shared" si="0"/>
        <v>10756.246638128801</v>
      </c>
      <c r="AE11" s="12"/>
      <c r="AF11" s="12"/>
      <c r="AG11" s="12"/>
      <c r="AH11" s="12"/>
      <c r="AN11"/>
    </row>
    <row r="12" spans="2:40" ht="15.75">
      <c r="B12" s="147">
        <v>575</v>
      </c>
      <c r="C12" s="147">
        <v>1906</v>
      </c>
      <c r="D12" s="148" t="s">
        <v>64</v>
      </c>
      <c r="E12" s="147">
        <v>129</v>
      </c>
      <c r="F12" s="149">
        <v>9406</v>
      </c>
      <c r="G12" s="147">
        <v>1</v>
      </c>
      <c r="H12" s="150">
        <v>0</v>
      </c>
      <c r="I12" s="151">
        <v>0</v>
      </c>
      <c r="J12" s="130">
        <v>0</v>
      </c>
      <c r="K12" s="130">
        <f>'Per-Ft'!$L$9</f>
        <v>508.34595000000263</v>
      </c>
      <c r="L12" s="131"/>
      <c r="M12" s="341">
        <f>'Per-Ft'!$J$4+('Rent-List-adu'!F12-9000)*'Per-Ft'!$H$5</f>
        <v>6696.15340141581</v>
      </c>
      <c r="N12" s="326">
        <f t="shared" si="1"/>
        <v>6187.807451415807</v>
      </c>
      <c r="P12" s="292"/>
      <c r="Q12" s="105" t="s">
        <v>357</v>
      </c>
      <c r="R12" s="107"/>
      <c r="S12" s="285"/>
      <c r="T12" s="593"/>
      <c r="U12" s="607"/>
      <c r="V12" s="463"/>
      <c r="W12" s="316"/>
      <c r="X12" s="316"/>
      <c r="Y12" s="108"/>
      <c r="Z12" s="108"/>
      <c r="AA12" s="108"/>
      <c r="AB12" s="108"/>
      <c r="AC12" s="108"/>
      <c r="AD12" s="132">
        <f t="shared" si="0"/>
        <v>6187.807451415807</v>
      </c>
      <c r="AE12" s="12"/>
      <c r="AF12" s="12"/>
      <c r="AG12" s="12"/>
      <c r="AH12" s="12"/>
      <c r="AN12"/>
    </row>
    <row r="13" spans="2:40" ht="15.75">
      <c r="B13" s="147">
        <v>649</v>
      </c>
      <c r="C13" s="147">
        <v>1806</v>
      </c>
      <c r="D13" s="148" t="s">
        <v>65</v>
      </c>
      <c r="E13" s="147">
        <v>61</v>
      </c>
      <c r="F13" s="149">
        <v>9600</v>
      </c>
      <c r="G13" s="147">
        <v>1</v>
      </c>
      <c r="H13" s="150">
        <v>0</v>
      </c>
      <c r="I13" s="151">
        <v>0</v>
      </c>
      <c r="J13" s="151">
        <v>0</v>
      </c>
      <c r="K13" s="151">
        <v>0</v>
      </c>
      <c r="L13" s="131"/>
      <c r="M13" s="341">
        <f>'Per-Ft'!$J$4+('Rent-List-adu'!F13-9000)*'Per-Ft'!$H$5</f>
        <v>6713.251028706247</v>
      </c>
      <c r="N13" s="326">
        <f t="shared" si="1"/>
        <v>6713.251028706247</v>
      </c>
      <c r="P13" s="292"/>
      <c r="Q13" s="105"/>
      <c r="R13" s="107"/>
      <c r="S13" s="285"/>
      <c r="T13" s="593"/>
      <c r="U13" s="607"/>
      <c r="V13" s="463"/>
      <c r="W13" s="316"/>
      <c r="X13" s="316"/>
      <c r="Y13" s="108"/>
      <c r="Z13" s="108"/>
      <c r="AA13" s="108"/>
      <c r="AB13" s="108"/>
      <c r="AC13" s="108"/>
      <c r="AD13" s="132">
        <f t="shared" si="0"/>
        <v>6713.251028706247</v>
      </c>
      <c r="AE13" s="12"/>
      <c r="AF13" s="12"/>
      <c r="AG13" s="12"/>
      <c r="AH13" s="12"/>
      <c r="AN13"/>
    </row>
    <row r="14" spans="2:40" ht="15.75">
      <c r="B14" s="147">
        <v>595</v>
      </c>
      <c r="C14" s="147">
        <v>2107</v>
      </c>
      <c r="D14" s="148" t="s">
        <v>64</v>
      </c>
      <c r="E14" s="147" t="s">
        <v>165</v>
      </c>
      <c r="F14" s="149">
        <v>9615</v>
      </c>
      <c r="G14" s="147">
        <v>1</v>
      </c>
      <c r="H14" s="150">
        <v>0</v>
      </c>
      <c r="I14" s="151">
        <v>0</v>
      </c>
      <c r="J14" s="151">
        <v>0</v>
      </c>
      <c r="K14" s="151">
        <v>0</v>
      </c>
      <c r="L14" s="131"/>
      <c r="M14" s="341">
        <f>'Per-Ft'!$J$4+('Rent-List-adu'!F14-9000)*'Per-Ft'!$H$5</f>
        <v>6714.573010197776</v>
      </c>
      <c r="N14" s="326">
        <f t="shared" si="1"/>
        <v>6714.573010197776</v>
      </c>
      <c r="P14" s="292"/>
      <c r="Q14" s="105"/>
      <c r="R14" s="107"/>
      <c r="S14" s="285"/>
      <c r="T14" s="593"/>
      <c r="U14" s="607"/>
      <c r="V14" s="463"/>
      <c r="W14" s="316"/>
      <c r="X14" s="316"/>
      <c r="Y14" s="108"/>
      <c r="Z14" s="108"/>
      <c r="AA14" s="108"/>
      <c r="AB14" s="108"/>
      <c r="AC14" s="108"/>
      <c r="AD14" s="132">
        <f t="shared" si="0"/>
        <v>6714.573010197776</v>
      </c>
      <c r="AE14" s="12"/>
      <c r="AF14" s="12"/>
      <c r="AG14" s="12"/>
      <c r="AH14" s="12"/>
      <c r="AN14"/>
    </row>
    <row r="15" spans="2:40" ht="15.75">
      <c r="B15" s="147">
        <v>554</v>
      </c>
      <c r="C15" s="147">
        <v>1908</v>
      </c>
      <c r="D15" s="148" t="s">
        <v>68</v>
      </c>
      <c r="E15" s="147" t="s">
        <v>166</v>
      </c>
      <c r="F15" s="149">
        <v>9772</v>
      </c>
      <c r="G15" s="147">
        <v>1</v>
      </c>
      <c r="H15" s="150">
        <v>0</v>
      </c>
      <c r="I15" s="151">
        <v>0</v>
      </c>
      <c r="J15" s="151">
        <v>0</v>
      </c>
      <c r="K15" s="151">
        <v>0</v>
      </c>
      <c r="L15" s="131"/>
      <c r="M15" s="341">
        <f>'Per-Ft'!$J$4+('Rent-List-adu'!F15-9000)*'Per-Ft'!$H$5</f>
        <v>6728.409749809109</v>
      </c>
      <c r="N15" s="326">
        <f t="shared" si="1"/>
        <v>6728.409749809109</v>
      </c>
      <c r="P15" s="292"/>
      <c r="Q15" s="105"/>
      <c r="R15" s="107"/>
      <c r="S15" s="285"/>
      <c r="T15" s="593"/>
      <c r="U15" s="607"/>
      <c r="V15" s="463"/>
      <c r="W15" s="316"/>
      <c r="X15" s="316"/>
      <c r="Y15" s="108"/>
      <c r="Z15" s="108"/>
      <c r="AA15" s="108"/>
      <c r="AB15" s="108"/>
      <c r="AC15" s="108"/>
      <c r="AD15" s="132">
        <f t="shared" si="0"/>
        <v>6728.409749809109</v>
      </c>
      <c r="AE15" s="12"/>
      <c r="AF15" s="12"/>
      <c r="AG15" s="12"/>
      <c r="AH15" s="12"/>
      <c r="AN15"/>
    </row>
    <row r="16" spans="2:40" ht="15.75">
      <c r="B16" s="147">
        <v>570</v>
      </c>
      <c r="C16" s="147">
        <v>1911</v>
      </c>
      <c r="D16" s="148" t="s">
        <v>68</v>
      </c>
      <c r="E16" s="147">
        <v>129.5</v>
      </c>
      <c r="F16" s="149">
        <v>9812</v>
      </c>
      <c r="G16" s="147">
        <v>1</v>
      </c>
      <c r="H16" s="150">
        <v>0</v>
      </c>
      <c r="I16" s="151">
        <v>0</v>
      </c>
      <c r="J16" s="151">
        <v>0</v>
      </c>
      <c r="K16" s="151">
        <v>0</v>
      </c>
      <c r="L16" s="131"/>
      <c r="M16" s="341">
        <f>'Per-Ft'!$J$4+('Rent-List-adu'!F16-9000)*'Per-Ft'!$H$5</f>
        <v>6731.935033786519</v>
      </c>
      <c r="N16" s="326">
        <f t="shared" si="1"/>
        <v>6731.935033786519</v>
      </c>
      <c r="P16" s="292"/>
      <c r="Q16" s="105"/>
      <c r="R16" s="107"/>
      <c r="S16" s="285"/>
      <c r="T16" s="593"/>
      <c r="U16" s="607"/>
      <c r="V16" s="463"/>
      <c r="W16" s="316"/>
      <c r="X16" s="316"/>
      <c r="Y16" s="108"/>
      <c r="Z16" s="108"/>
      <c r="AA16" s="108"/>
      <c r="AB16" s="108"/>
      <c r="AC16" s="108"/>
      <c r="AD16" s="132">
        <f t="shared" si="0"/>
        <v>6731.935033786519</v>
      </c>
      <c r="AE16" s="12"/>
      <c r="AF16" s="12"/>
      <c r="AG16" s="12"/>
      <c r="AH16" s="12"/>
      <c r="AN16"/>
    </row>
    <row r="17" spans="2:40" ht="15.75">
      <c r="B17" s="147">
        <v>650</v>
      </c>
      <c r="C17" s="147">
        <v>1804</v>
      </c>
      <c r="D17" s="148" t="s">
        <v>65</v>
      </c>
      <c r="E17" s="147">
        <v>62</v>
      </c>
      <c r="F17" s="149">
        <v>9891</v>
      </c>
      <c r="G17" s="147">
        <v>1</v>
      </c>
      <c r="H17" s="150">
        <v>0</v>
      </c>
      <c r="I17" s="151">
        <v>0</v>
      </c>
      <c r="J17" s="151">
        <v>0</v>
      </c>
      <c r="K17" s="151">
        <v>0</v>
      </c>
      <c r="L17" s="131"/>
      <c r="M17" s="341">
        <f>'Per-Ft'!$J$4+('Rent-List-adu'!F17-9000)*'Per-Ft'!$H$5</f>
        <v>6738.897469641903</v>
      </c>
      <c r="N17" s="326">
        <f t="shared" si="1"/>
        <v>6738.897469641903</v>
      </c>
      <c r="P17" s="292"/>
      <c r="Q17" s="105"/>
      <c r="R17" s="107"/>
      <c r="S17" s="285"/>
      <c r="T17" s="593"/>
      <c r="U17" s="607"/>
      <c r="V17" s="463"/>
      <c r="W17" s="316"/>
      <c r="X17" s="316"/>
      <c r="Y17" s="108"/>
      <c r="Z17" s="108"/>
      <c r="AA17" s="108"/>
      <c r="AB17" s="108"/>
      <c r="AC17" s="108"/>
      <c r="AD17" s="132">
        <f t="shared" si="0"/>
        <v>6738.897469641903</v>
      </c>
      <c r="AE17" s="12"/>
      <c r="AF17" s="12"/>
      <c r="AG17" s="12"/>
      <c r="AH17" s="12"/>
      <c r="AN17"/>
    </row>
    <row r="18" spans="2:40" ht="15.75">
      <c r="B18" s="147">
        <v>691</v>
      </c>
      <c r="C18" s="147">
        <v>2323</v>
      </c>
      <c r="D18" s="148" t="s">
        <v>134</v>
      </c>
      <c r="E18" s="147" t="s">
        <v>135</v>
      </c>
      <c r="F18" s="149">
        <v>10000</v>
      </c>
      <c r="G18" s="147">
        <v>1</v>
      </c>
      <c r="H18" s="150">
        <v>0</v>
      </c>
      <c r="I18" s="151">
        <v>0</v>
      </c>
      <c r="J18" s="151">
        <v>0</v>
      </c>
      <c r="K18" s="151">
        <v>0</v>
      </c>
      <c r="L18" s="131"/>
      <c r="M18" s="341">
        <f>'Per-Ft'!$J$5+('Rent-List-adu'!F18-10000)*'Per-Ft'!$H$6</f>
        <v>6748.503868480345</v>
      </c>
      <c r="N18" s="326">
        <f t="shared" si="1"/>
        <v>6748.503868480345</v>
      </c>
      <c r="P18" s="292"/>
      <c r="Q18" s="105"/>
      <c r="R18" s="107"/>
      <c r="S18" s="285"/>
      <c r="T18" s="593"/>
      <c r="U18" s="607"/>
      <c r="V18" s="463"/>
      <c r="W18" s="316"/>
      <c r="X18" s="316"/>
      <c r="Y18" s="108"/>
      <c r="Z18" s="108"/>
      <c r="AA18" s="108"/>
      <c r="AB18" s="108"/>
      <c r="AC18" s="108"/>
      <c r="AD18" s="132">
        <f t="shared" si="0"/>
        <v>6748.503868480345</v>
      </c>
      <c r="AE18" s="12"/>
      <c r="AF18" s="12"/>
      <c r="AG18" s="12"/>
      <c r="AH18" s="12"/>
      <c r="AN18"/>
    </row>
    <row r="19" spans="2:40" ht="15.75">
      <c r="B19" s="147">
        <v>687</v>
      </c>
      <c r="C19" s="147">
        <v>1901</v>
      </c>
      <c r="D19" s="148" t="s">
        <v>64</v>
      </c>
      <c r="E19" s="147">
        <v>33.5</v>
      </c>
      <c r="F19" s="149">
        <v>10000</v>
      </c>
      <c r="G19" s="147">
        <v>1</v>
      </c>
      <c r="H19" s="150">
        <v>0</v>
      </c>
      <c r="I19" s="151">
        <v>0</v>
      </c>
      <c r="J19" s="130">
        <v>0</v>
      </c>
      <c r="K19" s="130">
        <f>'Per-Ft'!$L$9</f>
        <v>508.34595000000263</v>
      </c>
      <c r="L19" s="131"/>
      <c r="M19" s="341">
        <f>'Per-Ft'!$J$5+('Rent-List-adu'!F19-10000)*'Per-Ft'!$H$6</f>
        <v>6748.503868480345</v>
      </c>
      <c r="N19" s="326">
        <f t="shared" si="1"/>
        <v>6240.157918480342</v>
      </c>
      <c r="P19" s="292"/>
      <c r="Q19" s="105"/>
      <c r="R19" s="107"/>
      <c r="S19" s="285"/>
      <c r="T19" s="593"/>
      <c r="U19" s="607"/>
      <c r="V19" s="463"/>
      <c r="W19" s="316"/>
      <c r="X19" s="316"/>
      <c r="Y19" s="108"/>
      <c r="Z19" s="108"/>
      <c r="AA19" s="108"/>
      <c r="AB19" s="108"/>
      <c r="AC19" s="108"/>
      <c r="AD19" s="132">
        <f t="shared" si="0"/>
        <v>6240.157918480342</v>
      </c>
      <c r="AE19" s="12"/>
      <c r="AF19" s="12"/>
      <c r="AG19" s="12"/>
      <c r="AH19" s="12"/>
      <c r="AN19"/>
    </row>
    <row r="20" spans="2:40" ht="15.75">
      <c r="B20" s="147">
        <v>510</v>
      </c>
      <c r="C20" s="147">
        <v>2106</v>
      </c>
      <c r="D20" s="148" t="s">
        <v>64</v>
      </c>
      <c r="E20" s="147">
        <v>95.75</v>
      </c>
      <c r="F20" s="149">
        <v>10000</v>
      </c>
      <c r="G20" s="147">
        <v>1</v>
      </c>
      <c r="H20" s="150">
        <v>0</v>
      </c>
      <c r="I20" s="151">
        <v>0</v>
      </c>
      <c r="J20" s="130">
        <v>0</v>
      </c>
      <c r="K20" s="130">
        <f>'Per-Ft'!$L$9</f>
        <v>508.34595000000263</v>
      </c>
      <c r="L20" s="131"/>
      <c r="M20" s="341">
        <f>'Per-Ft'!$J$5+('Rent-List-adu'!F20-10000)*'Per-Ft'!$H$6</f>
        <v>6748.503868480345</v>
      </c>
      <c r="N20" s="326">
        <f t="shared" si="1"/>
        <v>6240.157918480342</v>
      </c>
      <c r="P20" s="292"/>
      <c r="Q20" s="105"/>
      <c r="R20" s="107"/>
      <c r="S20" s="285"/>
      <c r="T20" s="593"/>
      <c r="U20" s="607"/>
      <c r="V20" s="463"/>
      <c r="W20" s="316"/>
      <c r="X20" s="316"/>
      <c r="Y20" s="108"/>
      <c r="Z20" s="108"/>
      <c r="AA20" s="108"/>
      <c r="AB20" s="108"/>
      <c r="AC20" s="108"/>
      <c r="AD20" s="132">
        <f t="shared" si="0"/>
        <v>6240.157918480342</v>
      </c>
      <c r="AE20" s="12"/>
      <c r="AF20" s="12"/>
      <c r="AG20" s="12"/>
      <c r="AH20" s="12"/>
      <c r="AN20"/>
    </row>
    <row r="21" spans="2:40" ht="15.75">
      <c r="B21" s="147">
        <v>600</v>
      </c>
      <c r="C21" s="147">
        <v>2104</v>
      </c>
      <c r="D21" s="148" t="s">
        <v>293</v>
      </c>
      <c r="E21" s="147">
        <v>4</v>
      </c>
      <c r="F21" s="149">
        <v>10000</v>
      </c>
      <c r="G21" s="147">
        <v>1</v>
      </c>
      <c r="H21" s="150">
        <v>0</v>
      </c>
      <c r="I21" s="151">
        <v>0</v>
      </c>
      <c r="J21" s="151">
        <v>0</v>
      </c>
      <c r="K21" s="151">
        <v>0</v>
      </c>
      <c r="L21" s="131"/>
      <c r="M21" s="341">
        <f>'Per-Ft'!$J$5+('Rent-List-adu'!F21-10000)*'Per-Ft'!$H$6</f>
        <v>6748.503868480345</v>
      </c>
      <c r="N21" s="326">
        <f t="shared" si="1"/>
        <v>6748.503868480345</v>
      </c>
      <c r="P21" s="292"/>
      <c r="Q21" s="105"/>
      <c r="R21" s="107"/>
      <c r="S21" s="285"/>
      <c r="T21" s="593"/>
      <c r="U21" s="607"/>
      <c r="V21" s="463"/>
      <c r="W21" s="316"/>
      <c r="X21" s="316"/>
      <c r="Y21" s="108"/>
      <c r="Z21" s="108"/>
      <c r="AA21" s="108"/>
      <c r="AB21" s="108"/>
      <c r="AC21" s="108"/>
      <c r="AD21" s="132">
        <f t="shared" si="0"/>
        <v>6748.503868480345</v>
      </c>
      <c r="AE21" s="12"/>
      <c r="AF21" s="12"/>
      <c r="AG21" s="12"/>
      <c r="AH21" s="12"/>
      <c r="AN21"/>
    </row>
    <row r="22" spans="2:40" ht="15.75">
      <c r="B22" s="147">
        <v>560</v>
      </c>
      <c r="C22" s="147">
        <v>1913</v>
      </c>
      <c r="D22" s="148" t="s">
        <v>294</v>
      </c>
      <c r="E22" s="147">
        <v>124</v>
      </c>
      <c r="F22" s="149">
        <v>10000</v>
      </c>
      <c r="G22" s="147">
        <v>1</v>
      </c>
      <c r="H22" s="150">
        <v>0</v>
      </c>
      <c r="I22" s="151">
        <v>0</v>
      </c>
      <c r="J22" s="151">
        <v>0</v>
      </c>
      <c r="K22" s="151">
        <v>0</v>
      </c>
      <c r="L22" s="131"/>
      <c r="M22" s="341">
        <f>'Per-Ft'!$J$5+('Rent-List-adu'!F22-10000)*'Per-Ft'!$H$6</f>
        <v>6748.503868480345</v>
      </c>
      <c r="N22" s="326">
        <f t="shared" si="1"/>
        <v>6748.503868480345</v>
      </c>
      <c r="P22" s="292"/>
      <c r="Q22" s="105"/>
      <c r="R22" s="107"/>
      <c r="S22" s="285"/>
      <c r="T22" s="593"/>
      <c r="U22" s="607"/>
      <c r="V22" s="463"/>
      <c r="W22" s="316"/>
      <c r="X22" s="316"/>
      <c r="Y22" s="108"/>
      <c r="Z22" s="108"/>
      <c r="AA22" s="108"/>
      <c r="AB22" s="108"/>
      <c r="AC22" s="108"/>
      <c r="AD22" s="132">
        <f t="shared" si="0"/>
        <v>6748.503868480345</v>
      </c>
      <c r="AE22" s="12"/>
      <c r="AF22" s="12"/>
      <c r="AG22" s="12"/>
      <c r="AH22" s="12"/>
      <c r="AN22"/>
    </row>
    <row r="23" spans="2:40" ht="15.75">
      <c r="B23" s="147">
        <v>664</v>
      </c>
      <c r="C23" s="147">
        <v>2328</v>
      </c>
      <c r="D23" s="148" t="s">
        <v>87</v>
      </c>
      <c r="E23" s="147" t="s">
        <v>392</v>
      </c>
      <c r="F23" s="149">
        <v>10000</v>
      </c>
      <c r="G23" s="147">
        <v>1</v>
      </c>
      <c r="H23" s="150">
        <v>0</v>
      </c>
      <c r="I23" s="130">
        <f>'Per-Ft'!$L$16</f>
        <v>254.17297500000132</v>
      </c>
      <c r="J23" s="151">
        <v>0</v>
      </c>
      <c r="K23" s="151">
        <v>0</v>
      </c>
      <c r="L23" s="131"/>
      <c r="M23" s="341">
        <f>'Per-Ft'!$J$5+('Rent-List-adu'!F23-10000)*'Per-Ft'!$H$6</f>
        <v>6748.503868480345</v>
      </c>
      <c r="N23" s="326">
        <f t="shared" si="1"/>
        <v>7002.676843480346</v>
      </c>
      <c r="P23" s="292"/>
      <c r="Q23" s="105"/>
      <c r="R23" s="107"/>
      <c r="S23" s="285"/>
      <c r="T23" s="593"/>
      <c r="U23" s="607"/>
      <c r="V23" s="463"/>
      <c r="W23" s="316"/>
      <c r="X23" s="316"/>
      <c r="Y23" s="108"/>
      <c r="Z23" s="108"/>
      <c r="AA23" s="108"/>
      <c r="AB23" s="108"/>
      <c r="AC23" s="108"/>
      <c r="AD23" s="132">
        <f t="shared" si="0"/>
        <v>7002.676843480346</v>
      </c>
      <c r="AE23" s="12"/>
      <c r="AF23" s="12"/>
      <c r="AG23" s="12"/>
      <c r="AH23" s="12"/>
      <c r="AN23"/>
    </row>
    <row r="24" spans="2:40" ht="15.75">
      <c r="B24" s="147">
        <v>532</v>
      </c>
      <c r="C24" s="147">
        <v>2107</v>
      </c>
      <c r="D24" s="148" t="s">
        <v>295</v>
      </c>
      <c r="E24" s="147">
        <v>113.5</v>
      </c>
      <c r="F24" s="149">
        <v>10000</v>
      </c>
      <c r="G24" s="147">
        <v>1</v>
      </c>
      <c r="H24" s="150">
        <f>'Per-Ft'!$L$19</f>
        <v>508.3459499999999</v>
      </c>
      <c r="I24" s="151">
        <v>0</v>
      </c>
      <c r="J24" s="151">
        <v>0</v>
      </c>
      <c r="K24" s="151">
        <v>0</v>
      </c>
      <c r="L24" s="131"/>
      <c r="M24" s="341">
        <f>'Per-Ft'!$J$5+('Rent-List-adu'!F24-10000)*'Per-Ft'!$H$6</f>
        <v>6748.503868480345</v>
      </c>
      <c r="N24" s="326">
        <f t="shared" si="1"/>
        <v>7256.849818480345</v>
      </c>
      <c r="P24" s="292"/>
      <c r="Q24" s="105"/>
      <c r="R24" s="107"/>
      <c r="S24" s="285"/>
      <c r="T24" s="593"/>
      <c r="U24" s="607"/>
      <c r="V24" s="463"/>
      <c r="W24" s="316"/>
      <c r="X24" s="316"/>
      <c r="Y24" s="108"/>
      <c r="Z24" s="108"/>
      <c r="AA24" s="108"/>
      <c r="AB24" s="108"/>
      <c r="AC24" s="108"/>
      <c r="AD24" s="132">
        <f t="shared" si="0"/>
        <v>7256.849818480345</v>
      </c>
      <c r="AE24" s="12"/>
      <c r="AF24" s="12"/>
      <c r="AG24" s="12"/>
      <c r="AH24" s="12"/>
      <c r="AN24"/>
    </row>
    <row r="25" spans="2:40" ht="15.75">
      <c r="B25" s="147">
        <v>592</v>
      </c>
      <c r="C25" s="147">
        <v>2100</v>
      </c>
      <c r="D25" s="148" t="s">
        <v>293</v>
      </c>
      <c r="E25" s="147">
        <v>6.75</v>
      </c>
      <c r="F25" s="149">
        <v>10001</v>
      </c>
      <c r="G25" s="147">
        <v>1</v>
      </c>
      <c r="H25" s="150">
        <v>0</v>
      </c>
      <c r="I25" s="151">
        <v>0</v>
      </c>
      <c r="J25" s="151">
        <v>0</v>
      </c>
      <c r="K25" s="151">
        <v>0</v>
      </c>
      <c r="L25" s="131"/>
      <c r="M25" s="341">
        <f>'Per-Ft'!$J$5+('Rent-List-adu'!F25-10000)*'Per-Ft'!$H$6</f>
        <v>6748.588489780565</v>
      </c>
      <c r="N25" s="326">
        <f t="shared" si="1"/>
        <v>6748.588489780565</v>
      </c>
      <c r="P25" s="292"/>
      <c r="Q25" s="105"/>
      <c r="R25" s="107"/>
      <c r="S25" s="285"/>
      <c r="T25" s="593"/>
      <c r="U25" s="607"/>
      <c r="V25" s="463"/>
      <c r="W25" s="316"/>
      <c r="X25" s="316"/>
      <c r="Y25" s="108"/>
      <c r="Z25" s="108"/>
      <c r="AA25" s="108"/>
      <c r="AB25" s="108"/>
      <c r="AC25" s="108"/>
      <c r="AD25" s="132">
        <f t="shared" si="0"/>
        <v>6748.588489780565</v>
      </c>
      <c r="AE25" s="12"/>
      <c r="AF25" s="12"/>
      <c r="AG25" s="12"/>
      <c r="AH25" s="12"/>
      <c r="AN25"/>
    </row>
    <row r="26" spans="2:40" ht="15.75">
      <c r="B26" s="147">
        <v>555</v>
      </c>
      <c r="C26" s="147">
        <v>1910</v>
      </c>
      <c r="D26" s="148" t="s">
        <v>68</v>
      </c>
      <c r="E26" s="147" t="s">
        <v>192</v>
      </c>
      <c r="F26" s="149">
        <v>10002</v>
      </c>
      <c r="G26" s="147">
        <v>1</v>
      </c>
      <c r="H26" s="150">
        <v>0</v>
      </c>
      <c r="I26" s="151">
        <v>0</v>
      </c>
      <c r="J26" s="151">
        <v>0</v>
      </c>
      <c r="K26" s="151">
        <v>0</v>
      </c>
      <c r="L26" s="131"/>
      <c r="M26" s="341">
        <f>'Per-Ft'!$J$5+('Rent-List-adu'!F26-10000)*'Per-Ft'!$H$6</f>
        <v>6748.673111080787</v>
      </c>
      <c r="N26" s="326">
        <f t="shared" si="1"/>
        <v>6748.673111080787</v>
      </c>
      <c r="P26" s="292"/>
      <c r="Q26" s="105"/>
      <c r="R26" s="107"/>
      <c r="S26" s="285"/>
      <c r="T26" s="593"/>
      <c r="U26" s="607"/>
      <c r="V26" s="463"/>
      <c r="W26" s="316"/>
      <c r="X26" s="316"/>
      <c r="Y26" s="108"/>
      <c r="Z26" s="108"/>
      <c r="AA26" s="108"/>
      <c r="AB26" s="108"/>
      <c r="AC26" s="108"/>
      <c r="AD26" s="132">
        <f t="shared" si="0"/>
        <v>6748.673111080787</v>
      </c>
      <c r="AE26" s="12"/>
      <c r="AF26" s="12"/>
      <c r="AG26" s="12"/>
      <c r="AH26" s="12"/>
      <c r="AN26"/>
    </row>
    <row r="27" spans="2:40" ht="15.75">
      <c r="B27" s="147">
        <v>695</v>
      </c>
      <c r="C27" s="147">
        <v>1707</v>
      </c>
      <c r="D27" s="148" t="s">
        <v>164</v>
      </c>
      <c r="E27" s="147" t="s">
        <v>193</v>
      </c>
      <c r="F27" s="149">
        <v>10003</v>
      </c>
      <c r="G27" s="147">
        <v>1</v>
      </c>
      <c r="H27" s="150">
        <v>0</v>
      </c>
      <c r="I27" s="151">
        <v>0</v>
      </c>
      <c r="J27" s="151">
        <v>0</v>
      </c>
      <c r="K27" s="151">
        <v>0</v>
      </c>
      <c r="L27" s="131"/>
      <c r="M27" s="341">
        <f>'Per-Ft'!$J$5+('Rent-List-adu'!F27-10000)*'Per-Ft'!$H$6</f>
        <v>6748.757732381007</v>
      </c>
      <c r="N27" s="326">
        <f t="shared" si="1"/>
        <v>6748.757732381007</v>
      </c>
      <c r="P27" s="292"/>
      <c r="Q27" s="105"/>
      <c r="R27" s="107"/>
      <c r="S27" s="285"/>
      <c r="T27" s="593"/>
      <c r="U27" s="607"/>
      <c r="V27" s="463"/>
      <c r="W27" s="316"/>
      <c r="X27" s="316"/>
      <c r="Y27" s="108"/>
      <c r="Z27" s="108"/>
      <c r="AA27" s="108"/>
      <c r="AB27" s="108"/>
      <c r="AC27" s="108"/>
      <c r="AD27" s="132">
        <f t="shared" si="0"/>
        <v>6748.757732381007</v>
      </c>
      <c r="AE27" s="12"/>
      <c r="AF27" s="12"/>
      <c r="AG27" s="12"/>
      <c r="AH27" s="12"/>
      <c r="AN27"/>
    </row>
    <row r="28" spans="2:40" ht="15.75">
      <c r="B28" s="147">
        <v>598</v>
      </c>
      <c r="C28" s="147">
        <v>2203</v>
      </c>
      <c r="D28" s="148" t="s">
        <v>55</v>
      </c>
      <c r="E28" s="147">
        <v>1.5</v>
      </c>
      <c r="F28" s="149">
        <v>10004</v>
      </c>
      <c r="G28" s="147">
        <v>1</v>
      </c>
      <c r="H28" s="150">
        <v>0</v>
      </c>
      <c r="I28" s="151">
        <v>0</v>
      </c>
      <c r="J28" s="130">
        <v>0</v>
      </c>
      <c r="K28" s="130">
        <f>'Per-Ft'!$L$9</f>
        <v>508.34595000000263</v>
      </c>
      <c r="L28" s="131"/>
      <c r="M28" s="341">
        <f>'Per-Ft'!$J$5+('Rent-List-adu'!F28-10000)*'Per-Ft'!$H$6</f>
        <v>6748.842353681228</v>
      </c>
      <c r="N28" s="326">
        <f t="shared" si="1"/>
        <v>6240.496403681225</v>
      </c>
      <c r="P28" s="292"/>
      <c r="Q28" s="105"/>
      <c r="R28" s="107"/>
      <c r="S28" s="285"/>
      <c r="T28" s="593"/>
      <c r="U28" s="607"/>
      <c r="V28" s="463"/>
      <c r="W28" s="316"/>
      <c r="X28" s="316"/>
      <c r="Y28" s="108"/>
      <c r="Z28" s="108"/>
      <c r="AA28" s="108"/>
      <c r="AB28" s="108"/>
      <c r="AC28" s="108"/>
      <c r="AD28" s="132">
        <f t="shared" si="0"/>
        <v>6240.496403681225</v>
      </c>
      <c r="AE28" s="12"/>
      <c r="AF28" s="12"/>
      <c r="AG28" s="12"/>
      <c r="AH28" s="12"/>
      <c r="AN28"/>
    </row>
    <row r="29" spans="2:40" ht="15.75">
      <c r="B29" s="147">
        <v>550</v>
      </c>
      <c r="C29" s="147">
        <v>2128</v>
      </c>
      <c r="D29" s="148" t="s">
        <v>295</v>
      </c>
      <c r="E29" s="147">
        <v>134.5</v>
      </c>
      <c r="F29" s="149">
        <v>10007</v>
      </c>
      <c r="G29" s="147">
        <v>1</v>
      </c>
      <c r="H29" s="150">
        <v>0</v>
      </c>
      <c r="I29" s="151">
        <v>0</v>
      </c>
      <c r="J29" s="151">
        <v>0</v>
      </c>
      <c r="K29" s="151">
        <v>0</v>
      </c>
      <c r="L29" s="131"/>
      <c r="M29" s="341">
        <f>'Per-Ft'!$J$5+('Rent-List-adu'!F29-10000)*'Per-Ft'!$H$6</f>
        <v>6749.09621758189</v>
      </c>
      <c r="N29" s="326">
        <f t="shared" si="1"/>
        <v>6749.09621758189</v>
      </c>
      <c r="P29" s="292"/>
      <c r="Q29" s="105"/>
      <c r="R29" s="107"/>
      <c r="S29" s="285"/>
      <c r="T29" s="593"/>
      <c r="U29" s="607"/>
      <c r="V29" s="463"/>
      <c r="W29" s="316"/>
      <c r="X29" s="316"/>
      <c r="Y29" s="108"/>
      <c r="Z29" s="108"/>
      <c r="AA29" s="108"/>
      <c r="AB29" s="108"/>
      <c r="AC29" s="108"/>
      <c r="AD29" s="132">
        <f t="shared" si="0"/>
        <v>6749.09621758189</v>
      </c>
      <c r="AE29" s="12"/>
      <c r="AF29" s="12"/>
      <c r="AG29" s="12"/>
      <c r="AH29" s="12"/>
      <c r="AN29"/>
    </row>
    <row r="30" spans="2:40" ht="15.75">
      <c r="B30" s="147">
        <v>670</v>
      </c>
      <c r="C30" s="147">
        <v>1613</v>
      </c>
      <c r="D30" s="148" t="s">
        <v>278</v>
      </c>
      <c r="E30" s="147">
        <v>70.5</v>
      </c>
      <c r="F30" s="149">
        <v>10019</v>
      </c>
      <c r="G30" s="147">
        <v>1</v>
      </c>
      <c r="H30" s="150">
        <v>0</v>
      </c>
      <c r="I30" s="151">
        <v>0</v>
      </c>
      <c r="J30" s="151">
        <v>0</v>
      </c>
      <c r="K30" s="151">
        <v>0</v>
      </c>
      <c r="L30" s="131"/>
      <c r="M30" s="341">
        <f>'Per-Ft'!$J$5+('Rent-List-adu'!F30-10000)*'Per-Ft'!$H$6</f>
        <v>6750.11167318454</v>
      </c>
      <c r="N30" s="326">
        <f t="shared" si="1"/>
        <v>6750.11167318454</v>
      </c>
      <c r="P30" s="292"/>
      <c r="Q30" s="105"/>
      <c r="R30" s="107"/>
      <c r="S30" s="285"/>
      <c r="T30" s="593"/>
      <c r="U30" s="607"/>
      <c r="V30" s="463"/>
      <c r="W30" s="316"/>
      <c r="X30" s="316"/>
      <c r="Y30" s="108"/>
      <c r="Z30" s="108"/>
      <c r="AA30" s="108"/>
      <c r="AB30" s="108"/>
      <c r="AC30" s="108"/>
      <c r="AD30" s="132">
        <f t="shared" si="0"/>
        <v>6750.11167318454</v>
      </c>
      <c r="AE30" s="12"/>
      <c r="AF30" s="12"/>
      <c r="AG30" s="12"/>
      <c r="AH30" s="12"/>
      <c r="AN30"/>
    </row>
    <row r="31" spans="2:40" ht="15.75">
      <c r="B31" s="147">
        <v>692</v>
      </c>
      <c r="C31" s="147">
        <v>2307</v>
      </c>
      <c r="D31" s="148" t="s">
        <v>279</v>
      </c>
      <c r="E31" s="147" t="s">
        <v>22</v>
      </c>
      <c r="F31" s="149">
        <v>10019</v>
      </c>
      <c r="G31" s="147">
        <v>1</v>
      </c>
      <c r="H31" s="150">
        <v>0</v>
      </c>
      <c r="I31" s="130">
        <f>'Per-Ft'!$L$16</f>
        <v>254.17297500000132</v>
      </c>
      <c r="J31" s="151">
        <v>0</v>
      </c>
      <c r="K31" s="151">
        <v>0</v>
      </c>
      <c r="L31" s="131"/>
      <c r="M31" s="341">
        <f>'Per-Ft'!$J$5+('Rent-List-adu'!F31-10000)*'Per-Ft'!$H$6</f>
        <v>6750.11167318454</v>
      </c>
      <c r="N31" s="326">
        <f t="shared" si="1"/>
        <v>7004.284648184542</v>
      </c>
      <c r="P31" s="292"/>
      <c r="Q31" s="105"/>
      <c r="R31" s="107"/>
      <c r="S31" s="285"/>
      <c r="T31" s="593"/>
      <c r="U31" s="607"/>
      <c r="V31" s="463"/>
      <c r="W31" s="316"/>
      <c r="X31" s="316"/>
      <c r="Y31" s="108"/>
      <c r="Z31" s="108"/>
      <c r="AA31" s="108"/>
      <c r="AB31" s="108"/>
      <c r="AC31" s="108"/>
      <c r="AD31" s="132">
        <f t="shared" si="0"/>
        <v>7004.284648184542</v>
      </c>
      <c r="AE31" s="12"/>
      <c r="AF31" s="12"/>
      <c r="AG31" s="12"/>
      <c r="AH31" s="12"/>
      <c r="AN31"/>
    </row>
    <row r="32" spans="2:40" ht="15.75">
      <c r="B32" s="147">
        <v>689</v>
      </c>
      <c r="C32" s="147">
        <v>2111</v>
      </c>
      <c r="D32" s="148" t="s">
        <v>64</v>
      </c>
      <c r="E32" s="147" t="s">
        <v>196</v>
      </c>
      <c r="F32" s="149">
        <v>10030</v>
      </c>
      <c r="G32" s="147">
        <v>1</v>
      </c>
      <c r="H32" s="150">
        <v>0</v>
      </c>
      <c r="I32" s="151">
        <v>0</v>
      </c>
      <c r="J32" s="130">
        <v>0</v>
      </c>
      <c r="K32" s="130">
        <f>'Per-Ft'!$L$9</f>
        <v>508.34595000000263</v>
      </c>
      <c r="L32" s="131">
        <f>'Per-Ft'!$L$5</f>
        <v>254.1729750000004</v>
      </c>
      <c r="M32" s="341">
        <f>'Per-Ft'!$J$5+('Rent-List-adu'!F32-10000)*'Per-Ft'!$H$6</f>
        <v>6751.042507486969</v>
      </c>
      <c r="N32" s="326">
        <f t="shared" si="1"/>
        <v>5988.523582486966</v>
      </c>
      <c r="P32" s="292"/>
      <c r="Q32" s="105"/>
      <c r="R32" s="107"/>
      <c r="S32" s="285"/>
      <c r="T32" s="593"/>
      <c r="U32" s="607"/>
      <c r="V32" s="463"/>
      <c r="W32" s="316"/>
      <c r="X32" s="316"/>
      <c r="Y32" s="108"/>
      <c r="Z32" s="108"/>
      <c r="AA32" s="108"/>
      <c r="AB32" s="108"/>
      <c r="AC32" s="108"/>
      <c r="AD32" s="132">
        <f t="shared" si="0"/>
        <v>5988.523582486966</v>
      </c>
      <c r="AE32" s="12"/>
      <c r="AF32" s="12"/>
      <c r="AG32" s="12"/>
      <c r="AH32" s="12"/>
      <c r="AN32"/>
    </row>
    <row r="33" spans="2:40" ht="15.75">
      <c r="B33" s="147">
        <v>561</v>
      </c>
      <c r="C33" s="147">
        <v>1911</v>
      </c>
      <c r="D33" s="148" t="s">
        <v>294</v>
      </c>
      <c r="E33" s="147">
        <v>124.5</v>
      </c>
      <c r="F33" s="149">
        <v>10160</v>
      </c>
      <c r="G33" s="147">
        <v>1</v>
      </c>
      <c r="H33" s="150">
        <v>0</v>
      </c>
      <c r="I33" s="130">
        <f>'Per-Ft'!$L$16</f>
        <v>254.17297500000132</v>
      </c>
      <c r="J33" s="151">
        <v>0</v>
      </c>
      <c r="K33" s="151">
        <v>0</v>
      </c>
      <c r="L33" s="131"/>
      <c r="M33" s="341">
        <f>'Per-Ft'!$J$5+('Rent-List-adu'!F33-10000)*'Per-Ft'!$H$6</f>
        <v>6762.043276515673</v>
      </c>
      <c r="N33" s="326">
        <f t="shared" si="1"/>
        <v>7016.216251515674</v>
      </c>
      <c r="P33" s="292"/>
      <c r="Q33" s="105"/>
      <c r="R33" s="107"/>
      <c r="S33" s="285"/>
      <c r="T33" s="593"/>
      <c r="U33" s="607"/>
      <c r="V33" s="463"/>
      <c r="W33" s="316"/>
      <c r="X33" s="316"/>
      <c r="Y33" s="108"/>
      <c r="Z33" s="108"/>
      <c r="AA33" s="108"/>
      <c r="AB33" s="108"/>
      <c r="AC33" s="108"/>
      <c r="AD33" s="132">
        <f t="shared" si="0"/>
        <v>7016.216251515674</v>
      </c>
      <c r="AE33" s="12"/>
      <c r="AF33" s="12"/>
      <c r="AG33" s="12"/>
      <c r="AH33" s="12"/>
      <c r="AN33"/>
    </row>
    <row r="34" spans="1:40" ht="15.75">
      <c r="A34" s="135" t="s">
        <v>263</v>
      </c>
      <c r="B34" s="136">
        <v>646</v>
      </c>
      <c r="C34" s="136">
        <v>2304</v>
      </c>
      <c r="D34" s="137" t="s">
        <v>87</v>
      </c>
      <c r="E34" s="136">
        <v>55</v>
      </c>
      <c r="F34" s="138">
        <v>10116</v>
      </c>
      <c r="G34" s="136">
        <v>2</v>
      </c>
      <c r="H34" s="139">
        <v>0</v>
      </c>
      <c r="I34" s="152">
        <f>'Per-Ft'!$L$16</f>
        <v>254.17297500000132</v>
      </c>
      <c r="J34" s="140">
        <v>0</v>
      </c>
      <c r="K34" s="140">
        <v>0</v>
      </c>
      <c r="L34" s="141"/>
      <c r="M34" s="537">
        <f>'Per-Ft'!$J$5+('Rent-List-adu'!F34-10000)*'Per-Ft'!$H$6</f>
        <v>6758.319939305958</v>
      </c>
      <c r="N34" s="326">
        <f t="shared" si="1"/>
        <v>7012.492914305959</v>
      </c>
      <c r="O34" s="142">
        <v>55</v>
      </c>
      <c r="P34" s="294">
        <v>2296.4</v>
      </c>
      <c r="Q34" s="143" t="s">
        <v>11</v>
      </c>
      <c r="R34" s="144">
        <v>375</v>
      </c>
      <c r="S34" s="154" t="s">
        <v>54</v>
      </c>
      <c r="T34" s="145">
        <v>525</v>
      </c>
      <c r="U34" s="155">
        <f>V34-Y34+Z34-AA34-AB34-AC34</f>
        <v>3499.264475</v>
      </c>
      <c r="V34" s="395">
        <f>T34*$V$4</f>
        <v>6124.650000000001</v>
      </c>
      <c r="W34" s="317">
        <v>57449</v>
      </c>
      <c r="X34" s="317"/>
      <c r="Y34" s="146">
        <f>W34*$Y$4</f>
        <v>1723.47</v>
      </c>
      <c r="Z34" s="146">
        <f>W34*$Z$4</f>
        <v>976.633</v>
      </c>
      <c r="AA34" s="146">
        <f>W34*$AA$4</f>
        <v>919.184</v>
      </c>
      <c r="AB34" s="317">
        <f>W34*$AB$4</f>
        <v>172.347</v>
      </c>
      <c r="AC34" s="395">
        <f>V34*$AC$4</f>
        <v>787.0175250000001</v>
      </c>
      <c r="AD34" s="156">
        <f t="shared" si="0"/>
        <v>10511.75738930596</v>
      </c>
      <c r="AE34" s="12"/>
      <c r="AF34" s="12"/>
      <c r="AG34" s="12"/>
      <c r="AH34" s="12"/>
      <c r="AN34"/>
    </row>
    <row r="35" spans="2:40" ht="15.75">
      <c r="B35" s="147">
        <v>666</v>
      </c>
      <c r="C35" s="147">
        <v>2319</v>
      </c>
      <c r="D35" s="148" t="s">
        <v>134</v>
      </c>
      <c r="E35" s="147" t="s">
        <v>289</v>
      </c>
      <c r="F35" s="149">
        <v>10169</v>
      </c>
      <c r="G35" s="147">
        <v>1</v>
      </c>
      <c r="H35" s="150">
        <v>0</v>
      </c>
      <c r="I35" s="151">
        <v>0</v>
      </c>
      <c r="J35" s="151">
        <v>0</v>
      </c>
      <c r="K35" s="151">
        <v>0</v>
      </c>
      <c r="L35" s="131"/>
      <c r="M35" s="341">
        <f>'Per-Ft'!$J$5+('Rent-List-adu'!F35-10000)*'Per-Ft'!$H$6</f>
        <v>6762.80486821766</v>
      </c>
      <c r="N35" s="326">
        <f t="shared" si="1"/>
        <v>6762.80486821766</v>
      </c>
      <c r="P35" s="292"/>
      <c r="Q35" s="105"/>
      <c r="R35" s="107"/>
      <c r="S35" s="285"/>
      <c r="T35" s="593"/>
      <c r="U35" s="607"/>
      <c r="V35" s="463"/>
      <c r="W35" s="316"/>
      <c r="X35" s="316"/>
      <c r="Y35" s="108"/>
      <c r="Z35" s="108"/>
      <c r="AA35" s="108"/>
      <c r="AB35" s="108"/>
      <c r="AC35" s="108"/>
      <c r="AD35" s="132">
        <f t="shared" si="0"/>
        <v>6762.80486821766</v>
      </c>
      <c r="AE35" s="12"/>
      <c r="AF35" s="12"/>
      <c r="AG35" s="12"/>
      <c r="AH35" s="12"/>
      <c r="AN35"/>
    </row>
    <row r="36" spans="1:40" ht="15.75">
      <c r="A36" s="277" t="s">
        <v>189</v>
      </c>
      <c r="B36" s="157">
        <v>640</v>
      </c>
      <c r="C36" s="157">
        <v>2206</v>
      </c>
      <c r="D36" s="158" t="s">
        <v>290</v>
      </c>
      <c r="E36" s="157">
        <v>53</v>
      </c>
      <c r="F36" s="159">
        <v>10200</v>
      </c>
      <c r="G36" s="157">
        <v>2</v>
      </c>
      <c r="H36" s="160">
        <v>0</v>
      </c>
      <c r="I36" s="161">
        <v>0</v>
      </c>
      <c r="J36" s="161">
        <v>0</v>
      </c>
      <c r="K36" s="161">
        <v>0</v>
      </c>
      <c r="L36" s="162"/>
      <c r="M36" s="538">
        <f>'Per-Ft'!$J$5+('Rent-List-adu'!F36-10000)*'Per-Ft'!$H$6</f>
        <v>6765.428128524505</v>
      </c>
      <c r="N36" s="326">
        <f t="shared" si="1"/>
        <v>6765.428128524505</v>
      </c>
      <c r="O36" s="277"/>
      <c r="P36" s="297"/>
      <c r="Q36" s="277" t="str">
        <f>A36</f>
        <v>Duplex Rentals</v>
      </c>
      <c r="R36" s="278"/>
      <c r="S36" s="288"/>
      <c r="T36" s="280"/>
      <c r="U36" s="279"/>
      <c r="V36" s="399"/>
      <c r="W36" s="321"/>
      <c r="X36" s="321"/>
      <c r="Y36" s="279"/>
      <c r="Z36" s="279"/>
      <c r="AA36" s="279"/>
      <c r="AB36" s="279"/>
      <c r="AC36" s="279"/>
      <c r="AD36" s="281">
        <f t="shared" si="0"/>
        <v>6765.428128524505</v>
      </c>
      <c r="AE36" s="12"/>
      <c r="AF36" s="12"/>
      <c r="AG36" s="12"/>
      <c r="AH36" s="12"/>
      <c r="AN36"/>
    </row>
    <row r="37" spans="2:40" ht="15.75">
      <c r="B37" s="147">
        <v>505</v>
      </c>
      <c r="C37" s="147">
        <v>2037</v>
      </c>
      <c r="D37" s="148" t="s">
        <v>55</v>
      </c>
      <c r="E37" s="147" t="s">
        <v>399</v>
      </c>
      <c r="F37" s="149">
        <v>10203</v>
      </c>
      <c r="G37" s="147">
        <v>1</v>
      </c>
      <c r="H37" s="150">
        <f>'Per-Ft'!$L$19</f>
        <v>508.3459499999999</v>
      </c>
      <c r="I37" s="151">
        <v>0</v>
      </c>
      <c r="J37" s="151">
        <v>0</v>
      </c>
      <c r="K37" s="151">
        <v>0</v>
      </c>
      <c r="L37" s="131"/>
      <c r="M37" s="341">
        <f>'Per-Ft'!$J$5+('Rent-List-adu'!F37-10000)*'Per-Ft'!$H$6</f>
        <v>6765.681992425168</v>
      </c>
      <c r="N37" s="326">
        <f t="shared" si="1"/>
        <v>7274.027942425168</v>
      </c>
      <c r="P37" s="292"/>
      <c r="Q37" s="105"/>
      <c r="R37" s="107"/>
      <c r="S37" s="285"/>
      <c r="T37" s="593"/>
      <c r="U37" s="607"/>
      <c r="V37" s="463"/>
      <c r="W37" s="316"/>
      <c r="X37" s="316"/>
      <c r="Y37" s="108"/>
      <c r="Z37" s="108"/>
      <c r="AA37" s="108"/>
      <c r="AB37" s="108"/>
      <c r="AC37" s="108"/>
      <c r="AD37" s="132">
        <f t="shared" si="0"/>
        <v>7274.027942425168</v>
      </c>
      <c r="AE37" s="12"/>
      <c r="AF37" s="12"/>
      <c r="AG37" s="12"/>
      <c r="AH37" s="12"/>
      <c r="AN37"/>
    </row>
    <row r="38" spans="2:40" ht="15.75">
      <c r="B38" s="147">
        <v>514</v>
      </c>
      <c r="C38" s="147">
        <v>2107</v>
      </c>
      <c r="D38" s="148" t="s">
        <v>294</v>
      </c>
      <c r="E38" s="147">
        <v>97.5</v>
      </c>
      <c r="F38" s="163">
        <v>10325</v>
      </c>
      <c r="G38" s="147">
        <v>1</v>
      </c>
      <c r="H38" s="150">
        <v>0</v>
      </c>
      <c r="I38" s="151">
        <v>0</v>
      </c>
      <c r="J38" s="151">
        <v>0</v>
      </c>
      <c r="K38" s="151">
        <v>0</v>
      </c>
      <c r="L38" s="131"/>
      <c r="M38" s="341">
        <f>'Per-Ft'!$J$5+('Rent-List-adu'!F38-10000)*'Per-Ft'!$H$6</f>
        <v>6776.0057910521045</v>
      </c>
      <c r="N38" s="326">
        <f t="shared" si="1"/>
        <v>6776.0057910521045</v>
      </c>
      <c r="P38" s="292"/>
      <c r="Q38" s="105"/>
      <c r="R38" s="107"/>
      <c r="S38" s="285"/>
      <c r="T38" s="593"/>
      <c r="U38" s="607"/>
      <c r="V38" s="463"/>
      <c r="W38" s="316"/>
      <c r="X38" s="316"/>
      <c r="Y38" s="108"/>
      <c r="Z38" s="108"/>
      <c r="AA38" s="108"/>
      <c r="AB38" s="108"/>
      <c r="AC38" s="108"/>
      <c r="AD38" s="132">
        <f t="shared" si="0"/>
        <v>6776.0057910521045</v>
      </c>
      <c r="AE38" s="12"/>
      <c r="AF38" s="12"/>
      <c r="AG38" s="12"/>
      <c r="AH38" s="12"/>
      <c r="AN38"/>
    </row>
    <row r="39" spans="2:40" ht="15.75">
      <c r="B39" s="147">
        <v>639</v>
      </c>
      <c r="C39" s="147">
        <v>2202</v>
      </c>
      <c r="D39" s="148" t="s">
        <v>290</v>
      </c>
      <c r="E39" s="147">
        <v>53.5</v>
      </c>
      <c r="F39" s="149">
        <v>10460</v>
      </c>
      <c r="G39" s="147">
        <v>1</v>
      </c>
      <c r="H39" s="150">
        <v>0</v>
      </c>
      <c r="I39" s="130">
        <f>'Per-Ft'!$L$16</f>
        <v>254.17297500000132</v>
      </c>
      <c r="J39" s="151">
        <v>0</v>
      </c>
      <c r="K39" s="151">
        <v>0</v>
      </c>
      <c r="L39" s="131"/>
      <c r="M39" s="341">
        <f>'Per-Ft'!$J$5+('Rent-List-adu'!F39-10000)*'Per-Ft'!$H$6</f>
        <v>6787.429666581913</v>
      </c>
      <c r="N39" s="326">
        <f t="shared" si="1"/>
        <v>7041.602641581914</v>
      </c>
      <c r="P39" s="292"/>
      <c r="Q39" s="105"/>
      <c r="R39" s="107"/>
      <c r="S39" s="285"/>
      <c r="T39" s="593"/>
      <c r="U39" s="607"/>
      <c r="V39" s="463"/>
      <c r="W39" s="316"/>
      <c r="X39" s="316"/>
      <c r="Y39" s="108"/>
      <c r="Z39" s="108"/>
      <c r="AA39" s="108"/>
      <c r="AB39" s="108"/>
      <c r="AC39" s="108"/>
      <c r="AD39" s="132">
        <f t="shared" si="0"/>
        <v>7041.602641581914</v>
      </c>
      <c r="AE39" s="12"/>
      <c r="AF39" s="12"/>
      <c r="AG39" s="12"/>
      <c r="AH39" s="12"/>
      <c r="AN39"/>
    </row>
    <row r="40" spans="2:40" ht="15.75">
      <c r="B40" s="147">
        <v>583</v>
      </c>
      <c r="C40" s="147">
        <v>2001</v>
      </c>
      <c r="D40" s="148" t="s">
        <v>64</v>
      </c>
      <c r="E40" s="147">
        <v>31.5</v>
      </c>
      <c r="F40" s="149">
        <v>10480</v>
      </c>
      <c r="G40" s="147">
        <v>1</v>
      </c>
      <c r="H40" s="150">
        <v>0</v>
      </c>
      <c r="I40" s="151">
        <v>0</v>
      </c>
      <c r="J40" s="130">
        <f>'Per-Ft'!$L$13</f>
        <v>254.1729750000004</v>
      </c>
      <c r="K40" s="151">
        <v>0</v>
      </c>
      <c r="L40" s="131"/>
      <c r="M40" s="341">
        <f>'Per-Ft'!$J$5+('Rent-List-adu'!F40-10000)*'Per-Ft'!$H$6</f>
        <v>6789.122092586329</v>
      </c>
      <c r="N40" s="326">
        <f t="shared" si="1"/>
        <v>6534.949117586329</v>
      </c>
      <c r="P40" s="292"/>
      <c r="Q40" s="105"/>
      <c r="R40" s="107"/>
      <c r="S40" s="285"/>
      <c r="T40" s="593"/>
      <c r="U40" s="607"/>
      <c r="V40" s="463"/>
      <c r="W40" s="316"/>
      <c r="X40" s="316"/>
      <c r="Y40" s="108"/>
      <c r="Z40" s="108"/>
      <c r="AA40" s="108"/>
      <c r="AB40" s="108"/>
      <c r="AC40" s="108"/>
      <c r="AD40" s="132">
        <f t="shared" si="0"/>
        <v>6534.949117586329</v>
      </c>
      <c r="AE40" s="12"/>
      <c r="AF40" s="12"/>
      <c r="AG40" s="12"/>
      <c r="AH40" s="12"/>
      <c r="AN40"/>
    </row>
    <row r="41" spans="2:40" ht="15.75">
      <c r="B41" s="147">
        <v>641</v>
      </c>
      <c r="C41" s="147">
        <v>2210</v>
      </c>
      <c r="D41" s="148" t="s">
        <v>290</v>
      </c>
      <c r="E41" s="147">
        <v>66</v>
      </c>
      <c r="F41" s="149">
        <v>10561</v>
      </c>
      <c r="G41" s="164">
        <v>1</v>
      </c>
      <c r="H41" s="150">
        <v>0</v>
      </c>
      <c r="I41" s="151">
        <v>0</v>
      </c>
      <c r="J41" s="151">
        <v>0</v>
      </c>
      <c r="K41" s="151">
        <v>0</v>
      </c>
      <c r="L41" s="131"/>
      <c r="M41" s="341">
        <f>'Per-Ft'!$J$5+('Rent-List-adu'!F41-10000)*'Per-Ft'!$H$6</f>
        <v>6795.976417904214</v>
      </c>
      <c r="N41" s="326">
        <f t="shared" si="1"/>
        <v>6795.976417904214</v>
      </c>
      <c r="P41" s="292"/>
      <c r="Q41" s="105"/>
      <c r="R41" s="107"/>
      <c r="S41" s="285"/>
      <c r="T41" s="593"/>
      <c r="U41" s="607"/>
      <c r="V41" s="463"/>
      <c r="W41" s="316"/>
      <c r="X41" s="316"/>
      <c r="Y41" s="108"/>
      <c r="Z41" s="108"/>
      <c r="AA41" s="108"/>
      <c r="AB41" s="108"/>
      <c r="AC41" s="108"/>
      <c r="AD41" s="132">
        <f t="shared" si="0"/>
        <v>6795.976417904214</v>
      </c>
      <c r="AE41" s="12"/>
      <c r="AF41" s="12"/>
      <c r="AG41" s="12"/>
      <c r="AH41" s="12"/>
      <c r="AN41"/>
    </row>
    <row r="42" spans="2:40" ht="15.75">
      <c r="B42" s="147">
        <v>667</v>
      </c>
      <c r="C42" s="147">
        <v>2317</v>
      </c>
      <c r="D42" s="148" t="s">
        <v>134</v>
      </c>
      <c r="E42" s="147">
        <v>75.75</v>
      </c>
      <c r="F42" s="149">
        <v>10595</v>
      </c>
      <c r="G42" s="147">
        <v>1</v>
      </c>
      <c r="H42" s="150">
        <v>0</v>
      </c>
      <c r="I42" s="151">
        <v>0</v>
      </c>
      <c r="J42" s="151">
        <v>0</v>
      </c>
      <c r="K42" s="151">
        <v>0</v>
      </c>
      <c r="L42" s="131"/>
      <c r="M42" s="341">
        <f>'Per-Ft'!$J$5+('Rent-List-adu'!F42-10000)*'Per-Ft'!$H$6</f>
        <v>6798.853542111721</v>
      </c>
      <c r="N42" s="326">
        <f t="shared" si="1"/>
        <v>6798.853542111721</v>
      </c>
      <c r="P42" s="292"/>
      <c r="Q42" s="105"/>
      <c r="R42" s="107"/>
      <c r="S42" s="285"/>
      <c r="T42" s="593"/>
      <c r="U42" s="607"/>
      <c r="V42" s="463"/>
      <c r="W42" s="316"/>
      <c r="X42" s="316"/>
      <c r="Y42" s="108"/>
      <c r="Z42" s="108"/>
      <c r="AA42" s="108"/>
      <c r="AB42" s="108"/>
      <c r="AC42" s="108"/>
      <c r="AD42" s="132">
        <f t="shared" si="0"/>
        <v>6798.853542111721</v>
      </c>
      <c r="AE42" s="12"/>
      <c r="AF42" s="12"/>
      <c r="AG42" s="12"/>
      <c r="AH42" s="12"/>
      <c r="AN42"/>
    </row>
    <row r="43" spans="2:40" ht="15.75">
      <c r="B43" s="147">
        <v>660</v>
      </c>
      <c r="C43" s="147">
        <v>1801</v>
      </c>
      <c r="D43" s="148" t="s">
        <v>65</v>
      </c>
      <c r="E43" s="147">
        <v>75.5</v>
      </c>
      <c r="F43" s="149">
        <v>10600</v>
      </c>
      <c r="G43" s="147">
        <v>1</v>
      </c>
      <c r="H43" s="150">
        <v>0</v>
      </c>
      <c r="I43" s="151">
        <v>0</v>
      </c>
      <c r="J43" s="151">
        <v>0</v>
      </c>
      <c r="K43" s="151">
        <v>0</v>
      </c>
      <c r="L43" s="131"/>
      <c r="M43" s="341">
        <f>'Per-Ft'!$J$5+('Rent-List-adu'!F43-10000)*'Per-Ft'!$H$6</f>
        <v>6799.276648612825</v>
      </c>
      <c r="N43" s="326">
        <f t="shared" si="1"/>
        <v>6799.276648612825</v>
      </c>
      <c r="P43" s="292"/>
      <c r="Q43" s="105"/>
      <c r="R43" s="107"/>
      <c r="S43" s="285"/>
      <c r="T43" s="593"/>
      <c r="U43" s="607"/>
      <c r="V43" s="463"/>
      <c r="W43" s="316"/>
      <c r="X43" s="316"/>
      <c r="Y43" s="108"/>
      <c r="Z43" s="108"/>
      <c r="AA43" s="108"/>
      <c r="AB43" s="108"/>
      <c r="AC43" s="108"/>
      <c r="AD43" s="132">
        <f t="shared" si="0"/>
        <v>6799.276648612825</v>
      </c>
      <c r="AE43" s="12"/>
      <c r="AF43" s="12"/>
      <c r="AG43" s="12"/>
      <c r="AH43" s="12"/>
      <c r="AN43"/>
    </row>
    <row r="44" spans="2:40" ht="15.75">
      <c r="B44" s="147">
        <v>502</v>
      </c>
      <c r="C44" s="147">
        <v>2103</v>
      </c>
      <c r="D44" s="148" t="s">
        <v>55</v>
      </c>
      <c r="E44" s="147" t="s">
        <v>126</v>
      </c>
      <c r="F44" s="149">
        <v>10616</v>
      </c>
      <c r="G44" s="147">
        <v>1</v>
      </c>
      <c r="H44" s="150">
        <v>0</v>
      </c>
      <c r="I44" s="151">
        <v>0</v>
      </c>
      <c r="J44" s="130">
        <f>'Per-Ft'!$L$13</f>
        <v>254.1729750000004</v>
      </c>
      <c r="K44" s="130">
        <f>'Per-Ft'!$L$9</f>
        <v>508.34595000000263</v>
      </c>
      <c r="L44" s="131"/>
      <c r="M44" s="341">
        <f>'Per-Ft'!$J$5+('Rent-List-adu'!F44-10000)*'Per-Ft'!$H$6</f>
        <v>6800.630589416358</v>
      </c>
      <c r="N44" s="326">
        <f t="shared" si="1"/>
        <v>6038.111664416355</v>
      </c>
      <c r="P44" s="292"/>
      <c r="Q44" s="105"/>
      <c r="R44" s="107"/>
      <c r="S44" s="285"/>
      <c r="T44" s="593"/>
      <c r="U44" s="607"/>
      <c r="V44" s="463"/>
      <c r="W44" s="316"/>
      <c r="X44" s="316"/>
      <c r="Y44" s="108"/>
      <c r="Z44" s="108"/>
      <c r="AA44" s="108"/>
      <c r="AB44" s="108"/>
      <c r="AC44" s="108"/>
      <c r="AD44" s="132">
        <f t="shared" si="0"/>
        <v>6038.111664416355</v>
      </c>
      <c r="AE44" s="12"/>
      <c r="AF44" s="12"/>
      <c r="AG44" s="12"/>
      <c r="AH44" s="12"/>
      <c r="AN44"/>
    </row>
    <row r="45" spans="1:40" ht="15.75">
      <c r="A45" s="165" t="s">
        <v>397</v>
      </c>
      <c r="B45" s="166">
        <v>572</v>
      </c>
      <c r="C45" s="166">
        <v>2111</v>
      </c>
      <c r="D45" s="167" t="s">
        <v>68</v>
      </c>
      <c r="E45" s="166">
        <v>132</v>
      </c>
      <c r="F45" s="168">
        <v>10624</v>
      </c>
      <c r="G45" s="166">
        <v>2</v>
      </c>
      <c r="H45" s="169">
        <v>0</v>
      </c>
      <c r="I45" s="170">
        <v>0</v>
      </c>
      <c r="J45" s="170">
        <v>0</v>
      </c>
      <c r="K45" s="170">
        <v>0</v>
      </c>
      <c r="L45" s="171">
        <f>'Per-Ft'!$L$5</f>
        <v>254.1729750000004</v>
      </c>
      <c r="M45" s="536">
        <f>'Per-Ft'!$J$5+('Rent-List-adu'!F45-10000)*'Per-Ft'!$H$6</f>
        <v>6801.307559818124</v>
      </c>
      <c r="N45" s="326">
        <f t="shared" si="1"/>
        <v>6547.134584818124</v>
      </c>
      <c r="O45" s="181"/>
      <c r="P45" s="540"/>
      <c r="Q45" s="539"/>
      <c r="R45" s="541"/>
      <c r="S45" s="542"/>
      <c r="T45" s="543"/>
      <c r="U45" s="186"/>
      <c r="V45" s="544"/>
      <c r="W45" s="545"/>
      <c r="X45" s="545"/>
      <c r="Y45" s="186"/>
      <c r="Z45" s="186"/>
      <c r="AA45" s="186"/>
      <c r="AB45" s="186"/>
      <c r="AC45" s="186"/>
      <c r="AD45" s="185">
        <f t="shared" si="0"/>
        <v>6547.134584818124</v>
      </c>
      <c r="AE45" s="12"/>
      <c r="AF45" s="12"/>
      <c r="AG45" s="12"/>
      <c r="AH45" s="12"/>
      <c r="AN45"/>
    </row>
    <row r="46" spans="2:40" ht="15.75">
      <c r="B46" s="147">
        <v>616</v>
      </c>
      <c r="C46" s="147">
        <v>2301</v>
      </c>
      <c r="D46" s="148" t="s">
        <v>398</v>
      </c>
      <c r="E46" s="147">
        <v>23</v>
      </c>
      <c r="F46" s="149">
        <v>10655</v>
      </c>
      <c r="G46" s="147">
        <v>1</v>
      </c>
      <c r="H46" s="150">
        <v>0</v>
      </c>
      <c r="I46" s="151">
        <v>0</v>
      </c>
      <c r="J46" s="151">
        <v>0</v>
      </c>
      <c r="K46" s="151">
        <v>0</v>
      </c>
      <c r="L46" s="131"/>
      <c r="M46" s="341">
        <f>'Per-Ft'!$J$5+('Rent-List-adu'!F46-10000)*'Per-Ft'!$H$6</f>
        <v>6803.930820124969</v>
      </c>
      <c r="N46" s="326">
        <f t="shared" si="1"/>
        <v>6803.930820124969</v>
      </c>
      <c r="P46" s="292"/>
      <c r="Q46" s="105"/>
      <c r="R46" s="107"/>
      <c r="S46" s="285"/>
      <c r="T46" s="593"/>
      <c r="U46" s="607"/>
      <c r="V46" s="463"/>
      <c r="W46" s="316"/>
      <c r="X46" s="316"/>
      <c r="Y46" s="108"/>
      <c r="Z46" s="108"/>
      <c r="AA46" s="108"/>
      <c r="AB46" s="108"/>
      <c r="AC46" s="108"/>
      <c r="AD46" s="132">
        <f t="shared" si="0"/>
        <v>6803.930820124969</v>
      </c>
      <c r="AE46" s="12"/>
      <c r="AF46" s="12"/>
      <c r="AG46" s="12"/>
      <c r="AH46" s="12"/>
      <c r="AN46"/>
    </row>
    <row r="47" spans="2:40" ht="15.75">
      <c r="B47" s="147">
        <v>515</v>
      </c>
      <c r="C47" s="147">
        <v>2105</v>
      </c>
      <c r="D47" s="148" t="s">
        <v>294</v>
      </c>
      <c r="E47" s="147">
        <v>96</v>
      </c>
      <c r="F47" s="149">
        <v>10661</v>
      </c>
      <c r="G47" s="147">
        <v>1</v>
      </c>
      <c r="H47" s="150">
        <v>0</v>
      </c>
      <c r="I47" s="151">
        <v>0</v>
      </c>
      <c r="J47" s="151">
        <v>0</v>
      </c>
      <c r="K47" s="151">
        <v>0</v>
      </c>
      <c r="L47" s="131"/>
      <c r="M47" s="341">
        <f>'Per-Ft'!$J$5+('Rent-List-adu'!F47-10000)*'Per-Ft'!$H$6</f>
        <v>6804.438547926294</v>
      </c>
      <c r="N47" s="326">
        <f t="shared" si="1"/>
        <v>6804.438547926294</v>
      </c>
      <c r="P47" s="292"/>
      <c r="Q47" s="105"/>
      <c r="R47" s="107"/>
      <c r="S47" s="285"/>
      <c r="T47" s="593"/>
      <c r="U47" s="607"/>
      <c r="V47" s="463"/>
      <c r="W47" s="316"/>
      <c r="X47" s="316"/>
      <c r="Y47" s="108"/>
      <c r="Z47" s="108"/>
      <c r="AA47" s="108"/>
      <c r="AB47" s="108"/>
      <c r="AC47" s="108"/>
      <c r="AD47" s="132">
        <f t="shared" si="0"/>
        <v>6804.438547926294</v>
      </c>
      <c r="AE47" s="12"/>
      <c r="AF47" s="12"/>
      <c r="AG47" s="12"/>
      <c r="AH47" s="12"/>
      <c r="AN47"/>
    </row>
    <row r="48" spans="2:40" ht="15.75">
      <c r="B48" s="147">
        <v>578</v>
      </c>
      <c r="C48" s="147">
        <v>2002</v>
      </c>
      <c r="D48" s="148" t="s">
        <v>64</v>
      </c>
      <c r="E48" s="147">
        <v>126</v>
      </c>
      <c r="F48" s="149">
        <v>10665</v>
      </c>
      <c r="G48" s="147">
        <v>1</v>
      </c>
      <c r="H48" s="150">
        <v>0</v>
      </c>
      <c r="I48" s="151">
        <v>0</v>
      </c>
      <c r="J48" s="130">
        <f>'Per-Ft'!$L$13</f>
        <v>254.1729750000004</v>
      </c>
      <c r="K48" s="130">
        <f>'Per-Ft'!$L$9</f>
        <v>508.34595000000263</v>
      </c>
      <c r="L48" s="131"/>
      <c r="M48" s="341">
        <f>'Per-Ft'!$J$5+('Rent-List-adu'!F48-10000)*'Per-Ft'!$H$6</f>
        <v>6804.777033127177</v>
      </c>
      <c r="N48" s="326">
        <f t="shared" si="1"/>
        <v>6042.258108127174</v>
      </c>
      <c r="P48" s="292"/>
      <c r="Q48" s="105"/>
      <c r="R48" s="107"/>
      <c r="S48" s="285"/>
      <c r="T48" s="593"/>
      <c r="U48" s="607"/>
      <c r="V48" s="463"/>
      <c r="W48" s="316"/>
      <c r="X48" s="316"/>
      <c r="Y48" s="108"/>
      <c r="Z48" s="108"/>
      <c r="AA48" s="108"/>
      <c r="AB48" s="108"/>
      <c r="AC48" s="108"/>
      <c r="AD48" s="132">
        <f t="shared" si="0"/>
        <v>6042.258108127174</v>
      </c>
      <c r="AE48" s="12"/>
      <c r="AF48" s="12"/>
      <c r="AG48" s="12"/>
      <c r="AH48" s="12"/>
      <c r="AN48"/>
    </row>
    <row r="49" spans="2:40" ht="15.75">
      <c r="B49" s="147">
        <v>643</v>
      </c>
      <c r="C49" s="147">
        <v>2212</v>
      </c>
      <c r="D49" s="148" t="s">
        <v>180</v>
      </c>
      <c r="E49" s="147">
        <v>52.5</v>
      </c>
      <c r="F49" s="149">
        <v>10675</v>
      </c>
      <c r="G49" s="147">
        <v>1</v>
      </c>
      <c r="H49" s="150">
        <v>0</v>
      </c>
      <c r="I49" s="151">
        <v>0</v>
      </c>
      <c r="J49" s="151">
        <v>0</v>
      </c>
      <c r="K49" s="151">
        <v>0</v>
      </c>
      <c r="L49" s="131"/>
      <c r="M49" s="341">
        <f>'Per-Ft'!$J$5+('Rent-List-adu'!F49-10000)*'Per-Ft'!$H$6</f>
        <v>6805.623246129385</v>
      </c>
      <c r="N49" s="326">
        <f t="shared" si="1"/>
        <v>6805.623246129385</v>
      </c>
      <c r="P49" s="292"/>
      <c r="Q49" s="105"/>
      <c r="R49" s="107"/>
      <c r="S49" s="285"/>
      <c r="T49" s="593"/>
      <c r="U49" s="607"/>
      <c r="V49" s="463"/>
      <c r="W49" s="316"/>
      <c r="X49" s="316"/>
      <c r="Y49" s="108"/>
      <c r="Z49" s="108"/>
      <c r="AA49" s="108"/>
      <c r="AB49" s="108"/>
      <c r="AC49" s="108"/>
      <c r="AD49" s="132">
        <f t="shared" si="0"/>
        <v>6805.623246129385</v>
      </c>
      <c r="AE49" s="12"/>
      <c r="AF49" s="12"/>
      <c r="AG49" s="12"/>
      <c r="AH49" s="12"/>
      <c r="AN49"/>
    </row>
    <row r="50" spans="1:40" ht="15.75">
      <c r="A50" s="135" t="s">
        <v>181</v>
      </c>
      <c r="B50" s="136">
        <v>636</v>
      </c>
      <c r="C50" s="136">
        <v>2209</v>
      </c>
      <c r="D50" s="137" t="s">
        <v>180</v>
      </c>
      <c r="E50" s="136">
        <v>49</v>
      </c>
      <c r="F50" s="138">
        <v>10821</v>
      </c>
      <c r="G50" s="136">
        <v>2</v>
      </c>
      <c r="H50" s="139">
        <v>0</v>
      </c>
      <c r="I50" s="140">
        <v>0</v>
      </c>
      <c r="J50" s="140">
        <v>0</v>
      </c>
      <c r="K50" s="140">
        <v>0</v>
      </c>
      <c r="L50" s="141"/>
      <c r="M50" s="537">
        <f>'Per-Ft'!$J$5+('Rent-List-adu'!F50-10000)*'Per-Ft'!$H$6</f>
        <v>6817.977955961622</v>
      </c>
      <c r="N50" s="326">
        <f t="shared" si="1"/>
        <v>6817.977955961622</v>
      </c>
      <c r="O50" s="142">
        <v>49</v>
      </c>
      <c r="P50" s="294">
        <v>2405</v>
      </c>
      <c r="Q50" s="143" t="s">
        <v>11</v>
      </c>
      <c r="R50" s="144">
        <v>400</v>
      </c>
      <c r="S50" s="154" t="s">
        <v>7</v>
      </c>
      <c r="T50" s="179">
        <v>525</v>
      </c>
      <c r="U50" s="317">
        <f>V50-Y50+Z50-AA50-AB50-AC50</f>
        <v>3376.640475000001</v>
      </c>
      <c r="V50" s="395">
        <f>T50*$V$4</f>
        <v>6124.650000000001</v>
      </c>
      <c r="W50" s="317">
        <v>61281</v>
      </c>
      <c r="X50" s="317"/>
      <c r="Y50" s="146">
        <f>W50*$Y$4</f>
        <v>1838.4299999999998</v>
      </c>
      <c r="Z50" s="146">
        <f>W50*$Z$4</f>
        <v>1041.777</v>
      </c>
      <c r="AA50" s="146">
        <f>W50*$AA$4</f>
        <v>980.496</v>
      </c>
      <c r="AB50" s="317">
        <f>W50*$AB$4</f>
        <v>183.84300000000002</v>
      </c>
      <c r="AC50" s="395">
        <f>V50*$AC$4</f>
        <v>787.0175250000001</v>
      </c>
      <c r="AD50" s="156">
        <f t="shared" si="0"/>
        <v>10194.618430961622</v>
      </c>
      <c r="AE50" s="12"/>
      <c r="AF50" s="12"/>
      <c r="AG50" s="12"/>
      <c r="AH50" s="12"/>
      <c r="AN50"/>
    </row>
    <row r="51" spans="2:40" ht="15.75">
      <c r="B51" s="147">
        <v>658</v>
      </c>
      <c r="C51" s="147">
        <v>2314</v>
      </c>
      <c r="D51" s="148" t="s">
        <v>134</v>
      </c>
      <c r="E51" s="147">
        <v>65.5</v>
      </c>
      <c r="F51" s="149">
        <v>10881</v>
      </c>
      <c r="G51" s="147">
        <v>1</v>
      </c>
      <c r="H51" s="150">
        <v>0</v>
      </c>
      <c r="I51" s="151">
        <v>0</v>
      </c>
      <c r="J51" s="151">
        <v>0</v>
      </c>
      <c r="K51" s="151">
        <v>0</v>
      </c>
      <c r="L51" s="131"/>
      <c r="M51" s="341">
        <f>'Per-Ft'!$J$5+('Rent-List-adu'!F51-10000)*'Per-Ft'!$H$6</f>
        <v>6823.05523397487</v>
      </c>
      <c r="N51" s="326">
        <f t="shared" si="1"/>
        <v>6823.05523397487</v>
      </c>
      <c r="P51" s="292"/>
      <c r="Q51" s="105"/>
      <c r="R51" s="107"/>
      <c r="S51" s="285"/>
      <c r="T51" s="593"/>
      <c r="U51" s="607"/>
      <c r="V51" s="463"/>
      <c r="X51" s="316"/>
      <c r="Y51" s="108"/>
      <c r="Z51" s="108"/>
      <c r="AA51" s="108"/>
      <c r="AB51" s="108"/>
      <c r="AC51" s="108"/>
      <c r="AD51" s="132">
        <f t="shared" si="0"/>
        <v>6823.05523397487</v>
      </c>
      <c r="AE51" s="12"/>
      <c r="AF51" s="12"/>
      <c r="AG51" s="12"/>
      <c r="AH51" s="12"/>
      <c r="AN51"/>
    </row>
    <row r="52" spans="2:40" ht="15.75">
      <c r="B52" s="147">
        <v>614</v>
      </c>
      <c r="C52" s="147">
        <v>2104</v>
      </c>
      <c r="D52" s="148" t="s">
        <v>164</v>
      </c>
      <c r="E52" s="147">
        <v>22.5</v>
      </c>
      <c r="F52" s="149">
        <v>11000</v>
      </c>
      <c r="G52" s="147">
        <v>1</v>
      </c>
      <c r="H52" s="150">
        <v>0</v>
      </c>
      <c r="I52" s="151">
        <v>0</v>
      </c>
      <c r="J52" s="151">
        <v>0</v>
      </c>
      <c r="K52" s="151">
        <v>0</v>
      </c>
      <c r="L52" s="131"/>
      <c r="M52" s="341">
        <f>'Per-Ft'!$J$6+('Rent-List-adu'!F52-11000)*'Per-Ft'!$H$7</f>
        <v>6833.1251687011445</v>
      </c>
      <c r="N52" s="326">
        <f t="shared" si="1"/>
        <v>6833.1251687011445</v>
      </c>
      <c r="P52" s="292"/>
      <c r="Q52" s="105"/>
      <c r="R52" s="107"/>
      <c r="S52" s="285"/>
      <c r="T52" s="593"/>
      <c r="U52" s="607"/>
      <c r="V52" s="463"/>
      <c r="W52" s="316"/>
      <c r="X52" s="316"/>
      <c r="Y52" s="108"/>
      <c r="Z52" s="108"/>
      <c r="AA52" s="108"/>
      <c r="AB52" s="108"/>
      <c r="AC52" s="108"/>
      <c r="AD52" s="132">
        <f t="shared" si="0"/>
        <v>6833.1251687011445</v>
      </c>
      <c r="AE52" s="12"/>
      <c r="AF52" s="12"/>
      <c r="AG52" s="12"/>
      <c r="AH52" s="12"/>
      <c r="AN52"/>
    </row>
    <row r="53" spans="2:40" ht="15.75">
      <c r="B53" s="147">
        <v>647</v>
      </c>
      <c r="C53" s="147">
        <v>2310</v>
      </c>
      <c r="D53" s="148" t="s">
        <v>87</v>
      </c>
      <c r="E53" s="147">
        <v>59</v>
      </c>
      <c r="F53" s="149">
        <v>11393</v>
      </c>
      <c r="G53" s="147">
        <v>1</v>
      </c>
      <c r="H53" s="150">
        <v>0</v>
      </c>
      <c r="I53" s="130">
        <f>'Per-Ft'!$L$16</f>
        <v>254.17297500000132</v>
      </c>
      <c r="J53" s="151">
        <v>0</v>
      </c>
      <c r="K53" s="151">
        <v>0</v>
      </c>
      <c r="L53" s="131"/>
      <c r="M53" s="341">
        <f>'Per-Ft'!$J$6+('Rent-List-adu'!F53-11000)*'Per-Ft'!$H$7</f>
        <v>6865.729257903865</v>
      </c>
      <c r="N53" s="326">
        <f t="shared" si="1"/>
        <v>7119.902232903866</v>
      </c>
      <c r="P53" s="292"/>
      <c r="Q53" s="105"/>
      <c r="R53" s="107"/>
      <c r="S53" s="285"/>
      <c r="T53" s="593"/>
      <c r="U53" s="607"/>
      <c r="V53" s="463"/>
      <c r="W53" s="316"/>
      <c r="X53" s="316"/>
      <c r="Y53" s="108"/>
      <c r="Z53" s="108"/>
      <c r="AA53" s="108"/>
      <c r="AB53" s="108"/>
      <c r="AC53" s="108"/>
      <c r="AD53" s="132">
        <f t="shared" si="0"/>
        <v>7119.902232903866</v>
      </c>
      <c r="AE53" s="12"/>
      <c r="AF53" s="12"/>
      <c r="AG53" s="12"/>
      <c r="AH53" s="12"/>
      <c r="AN53"/>
    </row>
    <row r="54" spans="2:40" ht="15.75">
      <c r="B54" s="164">
        <v>522</v>
      </c>
      <c r="C54" s="164">
        <v>2110</v>
      </c>
      <c r="D54" s="175" t="s">
        <v>398</v>
      </c>
      <c r="E54" s="164">
        <v>100.5</v>
      </c>
      <c r="F54" s="163">
        <v>11417</v>
      </c>
      <c r="G54" s="164">
        <v>1</v>
      </c>
      <c r="H54" s="150">
        <f>'Per-Ft'!$L$19</f>
        <v>508.3459499999999</v>
      </c>
      <c r="I54" s="176">
        <v>0</v>
      </c>
      <c r="J54" s="176">
        <v>0</v>
      </c>
      <c r="K54" s="176">
        <v>0</v>
      </c>
      <c r="L54" s="177"/>
      <c r="M54" s="341">
        <f>'Per-Ft'!$J$6+('Rent-List-adu'!F54-11000)*'Per-Ft'!$H$7</f>
        <v>6867.720347320825</v>
      </c>
      <c r="N54" s="326">
        <f t="shared" si="1"/>
        <v>7376.066297320825</v>
      </c>
      <c r="P54" s="292"/>
      <c r="Q54" s="105"/>
      <c r="R54" s="107"/>
      <c r="S54" s="285"/>
      <c r="T54" s="593"/>
      <c r="U54" s="607"/>
      <c r="V54" s="463"/>
      <c r="W54" s="316"/>
      <c r="X54" s="316"/>
      <c r="Y54" s="108"/>
      <c r="Z54" s="108"/>
      <c r="AA54" s="108"/>
      <c r="AB54" s="108"/>
      <c r="AC54" s="108"/>
      <c r="AD54" s="132">
        <f t="shared" si="0"/>
        <v>7376.066297320825</v>
      </c>
      <c r="AE54" s="12"/>
      <c r="AF54" s="12"/>
      <c r="AG54" s="12"/>
      <c r="AH54" s="12"/>
      <c r="AN54"/>
    </row>
    <row r="55" spans="2:40" ht="15.75">
      <c r="B55" s="147">
        <v>662</v>
      </c>
      <c r="C55" s="147">
        <v>2320</v>
      </c>
      <c r="D55" s="148" t="s">
        <v>87</v>
      </c>
      <c r="E55" s="147">
        <v>75.25</v>
      </c>
      <c r="F55" s="149">
        <v>11442</v>
      </c>
      <c r="G55" s="147">
        <v>1</v>
      </c>
      <c r="H55" s="150">
        <v>0</v>
      </c>
      <c r="I55" s="130">
        <f>'Per-Ft'!$L$16</f>
        <v>254.17297500000132</v>
      </c>
      <c r="J55" s="151">
        <v>0</v>
      </c>
      <c r="K55" s="151">
        <v>0</v>
      </c>
      <c r="L55" s="131"/>
      <c r="M55" s="341">
        <f>'Per-Ft'!$J$6+('Rent-List-adu'!F55-11000)*'Per-Ft'!$H$7</f>
        <v>6869.794398796825</v>
      </c>
      <c r="N55" s="326">
        <f t="shared" si="1"/>
        <v>7123.967373796826</v>
      </c>
      <c r="P55" s="292"/>
      <c r="Q55" s="105"/>
      <c r="R55" s="107"/>
      <c r="S55" s="285"/>
      <c r="T55" s="593"/>
      <c r="U55" s="607"/>
      <c r="V55" s="463"/>
      <c r="W55" s="316"/>
      <c r="X55" s="316"/>
      <c r="Y55" s="108"/>
      <c r="Z55" s="108"/>
      <c r="AA55" s="108"/>
      <c r="AB55" s="108"/>
      <c r="AC55" s="108"/>
      <c r="AD55" s="132">
        <f t="shared" si="0"/>
        <v>7123.967373796826</v>
      </c>
      <c r="AE55" s="12"/>
      <c r="AF55" s="12"/>
      <c r="AG55" s="12"/>
      <c r="AH55" s="12"/>
      <c r="AN55"/>
    </row>
    <row r="56" spans="2:34" ht="15.75">
      <c r="B56" s="147">
        <v>681</v>
      </c>
      <c r="C56" s="147">
        <v>2317</v>
      </c>
      <c r="D56" s="148" t="s">
        <v>279</v>
      </c>
      <c r="E56" s="147" t="s">
        <v>332</v>
      </c>
      <c r="F56" s="149">
        <v>11626</v>
      </c>
      <c r="G56" s="147">
        <v>1</v>
      </c>
      <c r="H56" s="150">
        <f>'Per-Ft'!$L$19</f>
        <v>508.3459499999999</v>
      </c>
      <c r="I56" s="130">
        <f>'Per-Ft'!$L$16</f>
        <v>254.17297500000132</v>
      </c>
      <c r="J56" s="151">
        <v>0</v>
      </c>
      <c r="K56" s="151">
        <v>0</v>
      </c>
      <c r="L56" s="131"/>
      <c r="M56" s="341">
        <f>'Per-Ft'!$J$6+('Rent-List-adu'!F56-11000)*'Per-Ft'!$H$7</f>
        <v>6885.059417660184</v>
      </c>
      <c r="N56" s="326">
        <f t="shared" si="1"/>
        <v>7647.578342660186</v>
      </c>
      <c r="P56" s="292"/>
      <c r="Q56" s="105"/>
      <c r="R56" s="107"/>
      <c r="S56" s="285"/>
      <c r="T56" s="593"/>
      <c r="U56" s="607"/>
      <c r="V56" s="463"/>
      <c r="W56" s="319"/>
      <c r="X56" s="316"/>
      <c r="Y56" s="108"/>
      <c r="Z56" s="108"/>
      <c r="AA56" s="108"/>
      <c r="AB56" s="108"/>
      <c r="AC56" s="108"/>
      <c r="AD56" s="132">
        <f t="shared" si="0"/>
        <v>7647.578342660186</v>
      </c>
      <c r="AE56" s="12"/>
      <c r="AF56" s="12"/>
      <c r="AG56" s="12"/>
      <c r="AH56" s="12"/>
    </row>
    <row r="57" spans="2:34" ht="15.75">
      <c r="B57" s="147">
        <v>668</v>
      </c>
      <c r="C57" s="147">
        <v>2320</v>
      </c>
      <c r="D57" s="148" t="s">
        <v>134</v>
      </c>
      <c r="E57" s="147">
        <v>67.5</v>
      </c>
      <c r="F57" s="149">
        <v>11809</v>
      </c>
      <c r="G57" s="147">
        <v>1</v>
      </c>
      <c r="H57" s="150">
        <v>0</v>
      </c>
      <c r="I57" s="151">
        <v>0</v>
      </c>
      <c r="J57" s="151">
        <v>0</v>
      </c>
      <c r="K57" s="151">
        <v>0</v>
      </c>
      <c r="L57" s="131"/>
      <c r="M57" s="341">
        <f>'Per-Ft'!$J$6+('Rent-List-adu'!F57-11000)*'Per-Ft'!$H$7</f>
        <v>6900.241474464505</v>
      </c>
      <c r="N57" s="326">
        <f t="shared" si="1"/>
        <v>6900.241474464505</v>
      </c>
      <c r="P57" s="292"/>
      <c r="Q57" s="105"/>
      <c r="R57" s="107"/>
      <c r="S57" s="285"/>
      <c r="T57" s="593"/>
      <c r="U57" s="607"/>
      <c r="V57" s="463"/>
      <c r="W57" s="284"/>
      <c r="X57" s="316"/>
      <c r="Y57" s="108"/>
      <c r="Z57" s="108"/>
      <c r="AA57" s="108"/>
      <c r="AB57" s="108"/>
      <c r="AC57" s="108"/>
      <c r="AD57" s="132">
        <f t="shared" si="0"/>
        <v>6900.241474464505</v>
      </c>
      <c r="AE57" s="12"/>
      <c r="AF57" s="12"/>
      <c r="AG57" s="12"/>
      <c r="AH57" s="12"/>
    </row>
    <row r="58" spans="1:34" ht="15.75">
      <c r="A58" s="135" t="s">
        <v>50</v>
      </c>
      <c r="B58" s="136">
        <v>607</v>
      </c>
      <c r="C58" s="136">
        <v>2212</v>
      </c>
      <c r="D58" s="137" t="s">
        <v>1</v>
      </c>
      <c r="E58" s="136">
        <v>16</v>
      </c>
      <c r="F58" s="138">
        <v>11900</v>
      </c>
      <c r="G58" s="136">
        <v>2</v>
      </c>
      <c r="H58" s="139">
        <v>0</v>
      </c>
      <c r="I58" s="140">
        <v>0</v>
      </c>
      <c r="J58" s="140">
        <v>0</v>
      </c>
      <c r="K58" s="140">
        <v>0</v>
      </c>
      <c r="L58" s="141"/>
      <c r="M58" s="537">
        <f>'Per-Ft'!$J$6+('Rent-List-adu'!F58-11000)*'Per-Ft'!$H$7</f>
        <v>6907.791021837144</v>
      </c>
      <c r="N58" s="326">
        <f t="shared" si="1"/>
        <v>6907.791021837144</v>
      </c>
      <c r="O58" s="178">
        <v>16</v>
      </c>
      <c r="P58" s="144">
        <v>5816</v>
      </c>
      <c r="Q58" s="154" t="s">
        <v>79</v>
      </c>
      <c r="R58" s="144">
        <v>800</v>
      </c>
      <c r="S58" s="144" t="s">
        <v>2</v>
      </c>
      <c r="T58" s="179">
        <v>800</v>
      </c>
      <c r="U58" s="317">
        <f>V58-Y58+Z58-AA58-AB58-AC58</f>
        <v>4371.583200000001</v>
      </c>
      <c r="V58" s="395">
        <f>T58*$V$4</f>
        <v>9332.800000000001</v>
      </c>
      <c r="W58" s="317">
        <v>117561</v>
      </c>
      <c r="X58" s="317"/>
      <c r="Y58" s="146">
        <f>W58*$Y$4</f>
        <v>3526.83</v>
      </c>
      <c r="Z58" s="146">
        <f>W58*$Z$4</f>
        <v>1998.537</v>
      </c>
      <c r="AA58" s="146">
        <f>W58*$AA$4</f>
        <v>1880.976</v>
      </c>
      <c r="AB58" s="317">
        <f>W58*$AB$4</f>
        <v>352.683</v>
      </c>
      <c r="AC58" s="395">
        <f>V58*$AC$4</f>
        <v>1199.2648000000002</v>
      </c>
      <c r="AD58" s="156">
        <f t="shared" si="0"/>
        <v>11279.374221837144</v>
      </c>
      <c r="AE58" s="12"/>
      <c r="AF58" s="12"/>
      <c r="AG58" s="12"/>
      <c r="AH58" s="12"/>
    </row>
    <row r="59" spans="2:34" ht="15.75">
      <c r="B59" s="147">
        <v>623</v>
      </c>
      <c r="C59" s="147">
        <v>1902</v>
      </c>
      <c r="D59" s="148" t="s">
        <v>164</v>
      </c>
      <c r="E59" s="147">
        <v>35.5</v>
      </c>
      <c r="F59" s="149">
        <v>11901</v>
      </c>
      <c r="G59" s="147">
        <v>1</v>
      </c>
      <c r="H59" s="150">
        <v>0</v>
      </c>
      <c r="I59" s="151">
        <v>0</v>
      </c>
      <c r="J59" s="151">
        <v>0</v>
      </c>
      <c r="K59" s="151">
        <v>0</v>
      </c>
      <c r="L59" s="131"/>
      <c r="M59" s="341">
        <f>'Per-Ft'!$J$6+('Rent-List-adu'!F59-11000)*'Per-Ft'!$H$7</f>
        <v>6907.873983896185</v>
      </c>
      <c r="N59" s="326">
        <f t="shared" si="1"/>
        <v>6907.873983896185</v>
      </c>
      <c r="P59" s="292"/>
      <c r="Q59" s="105"/>
      <c r="R59" s="107"/>
      <c r="S59" s="285"/>
      <c r="T59" s="593"/>
      <c r="U59" s="607"/>
      <c r="V59" s="463"/>
      <c r="W59" s="316"/>
      <c r="X59" s="316"/>
      <c r="Y59" s="108"/>
      <c r="Z59" s="108"/>
      <c r="AA59" s="108"/>
      <c r="AB59" s="108"/>
      <c r="AC59" s="108"/>
      <c r="AD59" s="132">
        <f t="shared" si="0"/>
        <v>6907.873983896185</v>
      </c>
      <c r="AE59" s="12"/>
      <c r="AF59" s="12"/>
      <c r="AG59" s="12"/>
      <c r="AH59" s="12"/>
    </row>
    <row r="60" spans="2:34" ht="15.75">
      <c r="B60" s="147">
        <v>574</v>
      </c>
      <c r="C60" s="147">
        <v>1904</v>
      </c>
      <c r="D60" s="148" t="s">
        <v>64</v>
      </c>
      <c r="E60" s="147">
        <v>130</v>
      </c>
      <c r="F60" s="149">
        <v>11953</v>
      </c>
      <c r="G60" s="147">
        <v>1</v>
      </c>
      <c r="H60" s="150">
        <v>0</v>
      </c>
      <c r="I60" s="151">
        <v>0</v>
      </c>
      <c r="J60" s="130">
        <v>0</v>
      </c>
      <c r="K60" s="130">
        <f>'Per-Ft'!$L$9</f>
        <v>508.34595000000263</v>
      </c>
      <c r="L60" s="131"/>
      <c r="M60" s="341">
        <f>'Per-Ft'!$J$6+('Rent-List-adu'!F60-11000)*'Per-Ft'!$H$7</f>
        <v>6912.188010966264</v>
      </c>
      <c r="N60" s="326">
        <f t="shared" si="1"/>
        <v>6403.842060966262</v>
      </c>
      <c r="P60" s="292"/>
      <c r="Q60" s="105"/>
      <c r="R60" s="107"/>
      <c r="S60" s="285"/>
      <c r="T60" s="593"/>
      <c r="U60" s="607"/>
      <c r="V60" s="463"/>
      <c r="W60" s="316"/>
      <c r="X60" s="316"/>
      <c r="Y60" s="108"/>
      <c r="Z60" s="108"/>
      <c r="AA60" s="108"/>
      <c r="AB60" s="108"/>
      <c r="AC60" s="108"/>
      <c r="AD60" s="132">
        <f t="shared" si="0"/>
        <v>6403.842060966262</v>
      </c>
      <c r="AE60" s="12"/>
      <c r="AF60" s="12"/>
      <c r="AG60" s="12"/>
      <c r="AH60" s="12"/>
    </row>
    <row r="61" spans="2:34" ht="15.75">
      <c r="B61" s="147">
        <v>556</v>
      </c>
      <c r="C61" s="147">
        <v>2120</v>
      </c>
      <c r="D61" s="148" t="s">
        <v>162</v>
      </c>
      <c r="E61" s="147">
        <v>120</v>
      </c>
      <c r="F61" s="149">
        <v>12012</v>
      </c>
      <c r="G61" s="147">
        <v>1</v>
      </c>
      <c r="H61" s="150">
        <v>0</v>
      </c>
      <c r="I61" s="151">
        <v>0</v>
      </c>
      <c r="J61" s="151">
        <v>0</v>
      </c>
      <c r="K61" s="151">
        <v>0</v>
      </c>
      <c r="L61" s="131"/>
      <c r="M61" s="341">
        <f>'Per-Ft'!$J$7+('Rent-List-adu'!F61-12000)*'Per-Ft'!$H$8</f>
        <v>6917.063251965144</v>
      </c>
      <c r="N61" s="326">
        <f t="shared" si="1"/>
        <v>6917.063251965144</v>
      </c>
      <c r="P61" s="292"/>
      <c r="Q61" s="105"/>
      <c r="R61" s="107"/>
      <c r="S61" s="285"/>
      <c r="T61" s="593"/>
      <c r="U61" s="607"/>
      <c r="V61" s="463"/>
      <c r="W61" s="316"/>
      <c r="X61" s="316"/>
      <c r="Y61" s="108"/>
      <c r="Z61" s="108"/>
      <c r="AA61" s="108"/>
      <c r="AB61" s="108"/>
      <c r="AC61" s="108"/>
      <c r="AD61" s="132">
        <f t="shared" si="0"/>
        <v>6917.063251965144</v>
      </c>
      <c r="AE61" s="12"/>
      <c r="AF61" s="12"/>
      <c r="AG61" s="12"/>
      <c r="AH61" s="12"/>
    </row>
    <row r="62" spans="2:34" ht="15.75">
      <c r="B62" s="147">
        <v>682</v>
      </c>
      <c r="C62" s="147">
        <v>2315</v>
      </c>
      <c r="D62" s="148" t="s">
        <v>279</v>
      </c>
      <c r="E62" s="147" t="s">
        <v>317</v>
      </c>
      <c r="F62" s="149">
        <v>12060</v>
      </c>
      <c r="G62" s="147">
        <v>1</v>
      </c>
      <c r="H62" s="150">
        <v>0</v>
      </c>
      <c r="I62" s="130">
        <f>'Per-Ft'!$L$16</f>
        <v>254.17297500000132</v>
      </c>
      <c r="J62" s="151">
        <v>0</v>
      </c>
      <c r="K62" s="151">
        <v>0</v>
      </c>
      <c r="L62" s="131"/>
      <c r="M62" s="341">
        <f>'Per-Ft'!$J$7+('Rent-List-adu'!F62-12000)*'Per-Ft'!$H$8</f>
        <v>6920.967348861144</v>
      </c>
      <c r="N62" s="326">
        <f t="shared" si="1"/>
        <v>7175.140323861146</v>
      </c>
      <c r="P62" s="292"/>
      <c r="Q62" s="105"/>
      <c r="R62" s="107"/>
      <c r="S62" s="285"/>
      <c r="T62" s="593"/>
      <c r="U62" s="607"/>
      <c r="V62" s="463"/>
      <c r="W62" s="316"/>
      <c r="X62" s="316"/>
      <c r="Y62" s="108"/>
      <c r="Z62" s="108"/>
      <c r="AA62" s="108"/>
      <c r="AB62" s="108"/>
      <c r="AC62" s="108"/>
      <c r="AD62" s="132">
        <f t="shared" si="0"/>
        <v>7175.140323861146</v>
      </c>
      <c r="AE62" s="12"/>
      <c r="AF62" s="12"/>
      <c r="AG62" s="12"/>
      <c r="AH62" s="12"/>
    </row>
    <row r="63" spans="2:34" ht="15.75">
      <c r="B63" s="147">
        <v>694</v>
      </c>
      <c r="C63" s="147">
        <v>2213</v>
      </c>
      <c r="D63" s="148" t="s">
        <v>1</v>
      </c>
      <c r="E63" s="147" t="s">
        <v>318</v>
      </c>
      <c r="F63" s="149">
        <v>12158</v>
      </c>
      <c r="G63" s="147">
        <v>1</v>
      </c>
      <c r="H63" s="150">
        <v>0</v>
      </c>
      <c r="I63" s="151">
        <v>0</v>
      </c>
      <c r="J63" s="151">
        <v>0</v>
      </c>
      <c r="K63" s="151">
        <v>0</v>
      </c>
      <c r="L63" s="131"/>
      <c r="M63" s="341">
        <f>'Per-Ft'!$J$7+('Rent-List-adu'!F63-12000)*'Per-Ft'!$H$8</f>
        <v>6928.938213357144</v>
      </c>
      <c r="N63" s="326">
        <f t="shared" si="1"/>
        <v>6928.938213357144</v>
      </c>
      <c r="P63" s="292"/>
      <c r="Q63" s="105"/>
      <c r="R63" s="107"/>
      <c r="S63" s="285"/>
      <c r="T63" s="593"/>
      <c r="U63" s="607"/>
      <c r="V63" s="463"/>
      <c r="W63" s="316"/>
      <c r="X63" s="316"/>
      <c r="Y63" s="108"/>
      <c r="Z63" s="108"/>
      <c r="AA63" s="108"/>
      <c r="AB63" s="108"/>
      <c r="AC63" s="108"/>
      <c r="AD63" s="132">
        <f t="shared" si="0"/>
        <v>6928.938213357144</v>
      </c>
      <c r="AE63" s="12"/>
      <c r="AF63" s="12"/>
      <c r="AG63" s="12"/>
      <c r="AH63" s="12"/>
    </row>
    <row r="64" spans="2:34" ht="15.75">
      <c r="B64" s="147">
        <v>613</v>
      </c>
      <c r="C64" s="147">
        <v>2102</v>
      </c>
      <c r="D64" s="148" t="s">
        <v>164</v>
      </c>
      <c r="E64" s="147">
        <v>22</v>
      </c>
      <c r="F64" s="149">
        <v>12225</v>
      </c>
      <c r="G64" s="147">
        <v>1</v>
      </c>
      <c r="H64" s="150">
        <v>0</v>
      </c>
      <c r="I64" s="151">
        <v>0</v>
      </c>
      <c r="J64" s="151">
        <v>0</v>
      </c>
      <c r="K64" s="151">
        <v>0</v>
      </c>
      <c r="L64" s="131"/>
      <c r="M64" s="341">
        <f>'Per-Ft'!$J$7+('Rent-List-adu'!F64-12000)*'Per-Ft'!$H$8</f>
        <v>6934.387681941144</v>
      </c>
      <c r="N64" s="326">
        <f t="shared" si="1"/>
        <v>6934.387681941144</v>
      </c>
      <c r="P64" s="292"/>
      <c r="Q64" s="105"/>
      <c r="R64" s="107"/>
      <c r="S64" s="285"/>
      <c r="T64" s="593"/>
      <c r="U64" s="607"/>
      <c r="V64" s="463"/>
      <c r="W64" s="316"/>
      <c r="X64" s="316"/>
      <c r="Y64" s="108"/>
      <c r="Z64" s="108"/>
      <c r="AA64" s="108"/>
      <c r="AB64" s="108"/>
      <c r="AC64" s="108"/>
      <c r="AD64" s="132">
        <f t="shared" si="0"/>
        <v>6934.387681941144</v>
      </c>
      <c r="AE64" s="12"/>
      <c r="AF64" s="12"/>
      <c r="AG64" s="12"/>
      <c r="AH64" s="12"/>
    </row>
    <row r="65" spans="2:34" ht="15.75">
      <c r="B65" s="147">
        <v>591</v>
      </c>
      <c r="C65" s="147">
        <v>2101</v>
      </c>
      <c r="D65" s="148" t="s">
        <v>64</v>
      </c>
      <c r="E65" s="147">
        <v>6</v>
      </c>
      <c r="F65" s="149">
        <v>12229</v>
      </c>
      <c r="G65" s="147">
        <v>1</v>
      </c>
      <c r="H65" s="150">
        <v>0</v>
      </c>
      <c r="I65" s="151">
        <v>0</v>
      </c>
      <c r="J65" s="130">
        <f>'Per-Ft'!$L$13</f>
        <v>254.1729750000004</v>
      </c>
      <c r="K65" s="151">
        <v>0</v>
      </c>
      <c r="L65" s="131"/>
      <c r="M65" s="341">
        <f>'Per-Ft'!$J$7+('Rent-List-adu'!F65-12000)*'Per-Ft'!$H$8</f>
        <v>6934.713023349144</v>
      </c>
      <c r="N65" s="326">
        <f t="shared" si="1"/>
        <v>6680.540048349144</v>
      </c>
      <c r="P65" s="292"/>
      <c r="Q65" s="105"/>
      <c r="R65" s="107"/>
      <c r="S65" s="285"/>
      <c r="T65" s="593"/>
      <c r="U65" s="607"/>
      <c r="V65" s="463"/>
      <c r="W65" s="316"/>
      <c r="X65" s="316"/>
      <c r="Y65" s="108"/>
      <c r="Z65" s="108"/>
      <c r="AA65" s="108"/>
      <c r="AB65" s="108"/>
      <c r="AC65" s="108"/>
      <c r="AD65" s="132">
        <f t="shared" si="0"/>
        <v>6680.540048349144</v>
      </c>
      <c r="AE65" s="12"/>
      <c r="AF65" s="12"/>
      <c r="AG65" s="12"/>
      <c r="AH65" s="12"/>
    </row>
    <row r="66" spans="2:34" ht="15.75">
      <c r="B66" s="147">
        <v>542</v>
      </c>
      <c r="C66" s="147">
        <v>2117</v>
      </c>
      <c r="D66" s="148" t="s">
        <v>343</v>
      </c>
      <c r="E66" s="147">
        <v>137.5</v>
      </c>
      <c r="F66" s="149">
        <v>12325</v>
      </c>
      <c r="G66" s="147">
        <v>1</v>
      </c>
      <c r="H66" s="150">
        <f>'Per-Ft'!$L$19/2</f>
        <v>254.17297499999995</v>
      </c>
      <c r="I66" s="151">
        <v>0</v>
      </c>
      <c r="J66" s="151">
        <v>0</v>
      </c>
      <c r="K66" s="151">
        <v>0</v>
      </c>
      <c r="L66" s="131"/>
      <c r="M66" s="341">
        <f>'Per-Ft'!$J$7+('Rent-List-adu'!F66-12000)*'Per-Ft'!$H$8</f>
        <v>6942.521217141145</v>
      </c>
      <c r="N66" s="326">
        <f t="shared" si="1"/>
        <v>7196.694192141145</v>
      </c>
      <c r="P66" s="292"/>
      <c r="Q66" s="105"/>
      <c r="R66" s="107"/>
      <c r="S66" s="285"/>
      <c r="T66" s="593"/>
      <c r="U66" s="607"/>
      <c r="V66" s="463"/>
      <c r="W66" s="316"/>
      <c r="X66" s="316"/>
      <c r="Y66" s="108"/>
      <c r="Z66" s="108"/>
      <c r="AA66" s="108"/>
      <c r="AB66" s="108"/>
      <c r="AC66" s="108"/>
      <c r="AD66" s="132">
        <f t="shared" si="0"/>
        <v>7196.694192141145</v>
      </c>
      <c r="AE66" s="12"/>
      <c r="AF66" s="12"/>
      <c r="AG66" s="12"/>
      <c r="AH66" s="12"/>
    </row>
    <row r="67" spans="1:34" ht="15.75">
      <c r="A67" s="165" t="s">
        <v>27</v>
      </c>
      <c r="B67" s="166">
        <v>644</v>
      </c>
      <c r="C67" s="166">
        <v>1802</v>
      </c>
      <c r="D67" s="167" t="s">
        <v>164</v>
      </c>
      <c r="E67" s="166">
        <v>51</v>
      </c>
      <c r="F67" s="168">
        <v>12556</v>
      </c>
      <c r="G67" s="166">
        <v>3</v>
      </c>
      <c r="H67" s="169">
        <v>0</v>
      </c>
      <c r="I67" s="170">
        <v>0</v>
      </c>
      <c r="J67" s="170">
        <v>0</v>
      </c>
      <c r="K67" s="170">
        <v>0</v>
      </c>
      <c r="L67" s="171"/>
      <c r="M67" s="536">
        <f>'Per-Ft'!$J$7+('Rent-List-adu'!F67-12000)*'Per-Ft'!$H$8</f>
        <v>6961.309683453144</v>
      </c>
      <c r="N67" s="326">
        <f t="shared" si="1"/>
        <v>6961.309683453144</v>
      </c>
      <c r="O67" s="181"/>
      <c r="P67" s="295"/>
      <c r="Q67" s="180"/>
      <c r="R67" s="182"/>
      <c r="S67" s="287"/>
      <c r="T67" s="184"/>
      <c r="U67" s="183"/>
      <c r="V67" s="397"/>
      <c r="W67" s="318"/>
      <c r="X67" s="318"/>
      <c r="Y67" s="183"/>
      <c r="Z67" s="183"/>
      <c r="AA67" s="183"/>
      <c r="AB67" s="183"/>
      <c r="AC67" s="183"/>
      <c r="AD67" s="185">
        <f t="shared" si="0"/>
        <v>6961.309683453144</v>
      </c>
      <c r="AE67" s="12"/>
      <c r="AF67" s="12"/>
      <c r="AG67" s="12"/>
      <c r="AH67" s="12"/>
    </row>
    <row r="68" spans="2:34" ht="15.75">
      <c r="B68" s="164">
        <v>533</v>
      </c>
      <c r="C68" s="164">
        <v>2108</v>
      </c>
      <c r="D68" s="175" t="s">
        <v>295</v>
      </c>
      <c r="E68" s="164">
        <v>114.5</v>
      </c>
      <c r="F68" s="163">
        <v>12573</v>
      </c>
      <c r="G68" s="164">
        <v>1</v>
      </c>
      <c r="H68" s="189">
        <f>'Per-Ft'!$L$19</f>
        <v>508.3459499999999</v>
      </c>
      <c r="I68" s="176">
        <v>0</v>
      </c>
      <c r="J68" s="176">
        <v>0</v>
      </c>
      <c r="K68" s="176">
        <v>0</v>
      </c>
      <c r="L68" s="177"/>
      <c r="M68" s="341">
        <f>'Per-Ft'!$J$7+('Rent-List-adu'!F68-12000)*'Per-Ft'!$H$8</f>
        <v>6962.692384437145</v>
      </c>
      <c r="N68" s="326">
        <f t="shared" si="1"/>
        <v>7471.038334437145</v>
      </c>
      <c r="P68" s="292"/>
      <c r="Q68" s="105"/>
      <c r="R68" s="107"/>
      <c r="S68" s="285"/>
      <c r="T68" s="593"/>
      <c r="U68" s="607"/>
      <c r="V68" s="463"/>
      <c r="W68" s="316"/>
      <c r="X68" s="316"/>
      <c r="Y68" s="108"/>
      <c r="Z68" s="108"/>
      <c r="AA68" s="108"/>
      <c r="AB68" s="108"/>
      <c r="AC68" s="108"/>
      <c r="AD68" s="132">
        <f t="shared" si="0"/>
        <v>7471.038334437145</v>
      </c>
      <c r="AE68" s="12"/>
      <c r="AF68" s="12"/>
      <c r="AG68" s="12"/>
      <c r="AH68" s="12"/>
    </row>
    <row r="69" spans="1:34" ht="15.75">
      <c r="A69" s="135" t="s">
        <v>199</v>
      </c>
      <c r="B69" s="136">
        <v>566</v>
      </c>
      <c r="C69" s="136">
        <v>2118</v>
      </c>
      <c r="D69" s="137" t="s">
        <v>398</v>
      </c>
      <c r="E69" s="136">
        <v>103.75</v>
      </c>
      <c r="F69" s="138">
        <v>12581</v>
      </c>
      <c r="G69" s="136">
        <v>2</v>
      </c>
      <c r="H69" s="139">
        <v>0</v>
      </c>
      <c r="I69" s="140">
        <v>0</v>
      </c>
      <c r="J69" s="140">
        <v>0</v>
      </c>
      <c r="K69" s="140">
        <v>0</v>
      </c>
      <c r="L69" s="141"/>
      <c r="M69" s="537">
        <f>'Per-Ft'!$J$7+('Rent-List-adu'!F69-12000)*'Per-Ft'!$H$8</f>
        <v>6963.343067253145</v>
      </c>
      <c r="N69" s="326">
        <f t="shared" si="1"/>
        <v>6963.343067253145</v>
      </c>
      <c r="O69" s="283">
        <v>103.75</v>
      </c>
      <c r="P69" s="294">
        <v>5329</v>
      </c>
      <c r="Q69" s="143" t="s">
        <v>249</v>
      </c>
      <c r="R69" s="144">
        <v>900</v>
      </c>
      <c r="S69" s="154" t="s">
        <v>331</v>
      </c>
      <c r="T69" s="145">
        <v>900</v>
      </c>
      <c r="U69" s="317">
        <f>V69-Y69+Z69-AA69-AB69-AC69</f>
        <v>3936.9471000000017</v>
      </c>
      <c r="V69" s="395">
        <f>T69*$V$4</f>
        <v>10499.4</v>
      </c>
      <c r="W69" s="317">
        <v>162915</v>
      </c>
      <c r="X69" s="317"/>
      <c r="Y69" s="146">
        <f>W69*$Y$4</f>
        <v>4887.45</v>
      </c>
      <c r="Z69" s="146">
        <f>W69*$Z$4</f>
        <v>2769.5550000000003</v>
      </c>
      <c r="AA69" s="146">
        <f>W69*$AA$4</f>
        <v>2606.64</v>
      </c>
      <c r="AB69" s="317">
        <f>W69*$AB$4</f>
        <v>488.745</v>
      </c>
      <c r="AC69" s="395">
        <f>V69*$AC$4</f>
        <v>1349.1729</v>
      </c>
      <c r="AD69" s="156">
        <f t="shared" si="0"/>
        <v>10900.290167253146</v>
      </c>
      <c r="AE69" s="12"/>
      <c r="AF69" s="12"/>
      <c r="AG69" s="12"/>
      <c r="AH69" s="12"/>
    </row>
    <row r="70" spans="2:34" ht="15.75">
      <c r="B70" s="147">
        <v>509</v>
      </c>
      <c r="C70" s="147">
        <v>2108</v>
      </c>
      <c r="D70" s="148" t="s">
        <v>64</v>
      </c>
      <c r="E70" s="147">
        <v>95</v>
      </c>
      <c r="F70" s="149">
        <v>12833</v>
      </c>
      <c r="G70" s="147">
        <v>1</v>
      </c>
      <c r="H70" s="150">
        <v>0</v>
      </c>
      <c r="I70" s="151">
        <v>0</v>
      </c>
      <c r="J70" s="130">
        <v>0</v>
      </c>
      <c r="K70" s="130">
        <f>'Per-Ft'!$L$9</f>
        <v>508.34595000000263</v>
      </c>
      <c r="L70" s="131"/>
      <c r="M70" s="341">
        <f>'Per-Ft'!$J$7+('Rent-List-adu'!F70-12000)*'Per-Ft'!$H$8</f>
        <v>6983.839575957145</v>
      </c>
      <c r="N70" s="326">
        <f t="shared" si="1"/>
        <v>6475.493625957142</v>
      </c>
      <c r="P70" s="292"/>
      <c r="Q70" s="105"/>
      <c r="R70" s="107"/>
      <c r="S70" s="285"/>
      <c r="T70" s="593"/>
      <c r="U70" s="607"/>
      <c r="V70" s="463"/>
      <c r="W70" s="316"/>
      <c r="X70" s="316"/>
      <c r="Y70" s="108"/>
      <c r="Z70" s="108"/>
      <c r="AA70" s="108"/>
      <c r="AB70" s="108"/>
      <c r="AC70" s="108"/>
      <c r="AD70" s="132">
        <f aca="true" t="shared" si="2" ref="AD70:AD133">N70+U70</f>
        <v>6475.493625957142</v>
      </c>
      <c r="AE70" s="12"/>
      <c r="AF70" s="12"/>
      <c r="AG70" s="12"/>
      <c r="AH70" s="12"/>
    </row>
    <row r="71" spans="1:34" ht="15.75">
      <c r="A71" s="165" t="s">
        <v>137</v>
      </c>
      <c r="B71" s="166">
        <v>568</v>
      </c>
      <c r="C71" s="166">
        <v>2119</v>
      </c>
      <c r="D71" s="167" t="s">
        <v>162</v>
      </c>
      <c r="E71" s="166">
        <v>102.5</v>
      </c>
      <c r="F71" s="168">
        <v>13141</v>
      </c>
      <c r="G71" s="166">
        <v>2</v>
      </c>
      <c r="H71" s="169">
        <v>0</v>
      </c>
      <c r="I71" s="170">
        <v>0</v>
      </c>
      <c r="J71" s="170">
        <v>0</v>
      </c>
      <c r="K71" s="170">
        <v>0</v>
      </c>
      <c r="L71" s="171"/>
      <c r="M71" s="536">
        <f>'Per-Ft'!$J$8+('Rent-List-adu'!F71-13000)*'Per-Ft'!$H$9</f>
        <v>7008.661498680504</v>
      </c>
      <c r="N71" s="326">
        <f aca="true" t="shared" si="3" ref="N71:N134">M71+H71+I71-J71-K71-L71</f>
        <v>7008.661498680504</v>
      </c>
      <c r="O71" s="181"/>
      <c r="P71" s="295"/>
      <c r="Q71" s="180"/>
      <c r="R71" s="182"/>
      <c r="S71" s="287"/>
      <c r="T71" s="184"/>
      <c r="U71" s="183"/>
      <c r="V71" s="397"/>
      <c r="W71" s="318"/>
      <c r="X71" s="318"/>
      <c r="Y71" s="183"/>
      <c r="Z71" s="183"/>
      <c r="AA71" s="183"/>
      <c r="AB71" s="183"/>
      <c r="AC71" s="183"/>
      <c r="AD71" s="185">
        <f t="shared" si="2"/>
        <v>7008.661498680504</v>
      </c>
      <c r="AE71" s="12"/>
      <c r="AF71" s="12"/>
      <c r="AG71" s="12"/>
      <c r="AH71" s="12"/>
    </row>
    <row r="72" spans="2:34" ht="15.75">
      <c r="B72" s="147">
        <v>503</v>
      </c>
      <c r="C72" s="147">
        <v>2033</v>
      </c>
      <c r="D72" s="148" t="s">
        <v>55</v>
      </c>
      <c r="E72" s="147" t="s">
        <v>167</v>
      </c>
      <c r="F72" s="149">
        <v>13272</v>
      </c>
      <c r="G72" s="147">
        <v>1</v>
      </c>
      <c r="H72" s="150">
        <f>'Per-Ft'!$L$19</f>
        <v>508.3459499999999</v>
      </c>
      <c r="I72" s="151">
        <v>0</v>
      </c>
      <c r="J72" s="130">
        <f>'Per-Ft'!$L$13</f>
        <v>254.1729750000004</v>
      </c>
      <c r="K72" s="151">
        <v>0</v>
      </c>
      <c r="L72" s="131"/>
      <c r="M72" s="341">
        <f>'Per-Ft'!$J$8+('Rent-List-adu'!F72-13000)*'Per-Ft'!$H$9</f>
        <v>7019.103331170265</v>
      </c>
      <c r="N72" s="326">
        <f t="shared" si="3"/>
        <v>7273.276306170264</v>
      </c>
      <c r="P72" s="292"/>
      <c r="Q72" s="105"/>
      <c r="R72" s="107"/>
      <c r="S72" s="285"/>
      <c r="T72" s="593"/>
      <c r="U72" s="607"/>
      <c r="V72" s="463"/>
      <c r="W72" s="316"/>
      <c r="X72" s="316"/>
      <c r="Y72" s="108"/>
      <c r="Z72" s="108"/>
      <c r="AA72" s="108"/>
      <c r="AB72" s="108"/>
      <c r="AC72" s="108"/>
      <c r="AD72" s="132">
        <f t="shared" si="2"/>
        <v>7273.276306170264</v>
      </c>
      <c r="AE72" s="12"/>
      <c r="AF72" s="12"/>
      <c r="AG72" s="12"/>
      <c r="AH72" s="12"/>
    </row>
    <row r="73" spans="2:34" ht="15.75">
      <c r="B73" s="147">
        <v>523</v>
      </c>
      <c r="C73" s="147">
        <v>2012</v>
      </c>
      <c r="D73" s="148" t="s">
        <v>294</v>
      </c>
      <c r="E73" s="147">
        <v>100</v>
      </c>
      <c r="F73" s="149">
        <v>13277</v>
      </c>
      <c r="G73" s="147">
        <v>1</v>
      </c>
      <c r="H73" s="150">
        <v>0</v>
      </c>
      <c r="I73" s="151">
        <v>0</v>
      </c>
      <c r="J73" s="151">
        <v>0</v>
      </c>
      <c r="K73" s="151">
        <v>0</v>
      </c>
      <c r="L73" s="131"/>
      <c r="M73" s="341">
        <f>'Per-Ft'!$J$8+('Rent-List-adu'!F73-13000)*'Per-Ft'!$H$9</f>
        <v>7019.501874395065</v>
      </c>
      <c r="N73" s="326">
        <f t="shared" si="3"/>
        <v>7019.501874395065</v>
      </c>
      <c r="P73" s="292"/>
      <c r="Q73" s="105"/>
      <c r="R73" s="107"/>
      <c r="S73" s="285"/>
      <c r="T73" s="593"/>
      <c r="U73" s="607"/>
      <c r="V73" s="463"/>
      <c r="W73" s="316"/>
      <c r="X73" s="316"/>
      <c r="Y73" s="108"/>
      <c r="Z73" s="108"/>
      <c r="AA73" s="108"/>
      <c r="AB73" s="108"/>
      <c r="AC73" s="108"/>
      <c r="AD73" s="132">
        <f t="shared" si="2"/>
        <v>7019.501874395065</v>
      </c>
      <c r="AE73" s="12"/>
      <c r="AF73" s="12"/>
      <c r="AG73" s="12"/>
      <c r="AH73" s="12"/>
    </row>
    <row r="74" spans="2:34" ht="15.75">
      <c r="B74" s="147">
        <v>653</v>
      </c>
      <c r="C74" s="147">
        <v>2305</v>
      </c>
      <c r="D74" s="148" t="s">
        <v>134</v>
      </c>
      <c r="E74" s="147">
        <v>55.5</v>
      </c>
      <c r="F74" s="149">
        <v>13304</v>
      </c>
      <c r="G74" s="147">
        <v>1</v>
      </c>
      <c r="H74" s="150">
        <v>0</v>
      </c>
      <c r="I74" s="151">
        <v>0</v>
      </c>
      <c r="J74" s="151">
        <v>0</v>
      </c>
      <c r="K74" s="151">
        <v>0</v>
      </c>
      <c r="L74" s="131"/>
      <c r="M74" s="341">
        <f>'Per-Ft'!$J$8+('Rent-List-adu'!F74-13000)*'Per-Ft'!$H$9</f>
        <v>7021.654007808985</v>
      </c>
      <c r="N74" s="326">
        <f t="shared" si="3"/>
        <v>7021.654007808985</v>
      </c>
      <c r="P74" s="292"/>
      <c r="Q74" s="105"/>
      <c r="R74" s="107"/>
      <c r="S74" s="285"/>
      <c r="T74" s="593"/>
      <c r="U74" s="607"/>
      <c r="V74" s="463"/>
      <c r="W74" s="316"/>
      <c r="X74" s="316"/>
      <c r="Y74" s="108"/>
      <c r="Z74" s="108"/>
      <c r="AA74" s="108"/>
      <c r="AB74" s="108"/>
      <c r="AC74" s="108"/>
      <c r="AD74" s="132">
        <f t="shared" si="2"/>
        <v>7021.654007808985</v>
      </c>
      <c r="AE74" s="12"/>
      <c r="AF74" s="12"/>
      <c r="AG74" s="12"/>
      <c r="AH74" s="12"/>
    </row>
    <row r="75" spans="2:34" ht="15.75">
      <c r="B75" s="147">
        <v>659</v>
      </c>
      <c r="C75" s="147">
        <v>2316</v>
      </c>
      <c r="D75" s="148" t="s">
        <v>134</v>
      </c>
      <c r="E75" s="147">
        <v>67</v>
      </c>
      <c r="F75" s="149">
        <v>13330</v>
      </c>
      <c r="G75" s="147">
        <v>1</v>
      </c>
      <c r="H75" s="150">
        <v>0</v>
      </c>
      <c r="I75" s="151">
        <v>0</v>
      </c>
      <c r="J75" s="151">
        <v>0</v>
      </c>
      <c r="K75" s="151">
        <v>0</v>
      </c>
      <c r="L75" s="131"/>
      <c r="M75" s="341">
        <f>'Per-Ft'!$J$8+('Rent-List-adu'!F75-13000)*'Per-Ft'!$H$9</f>
        <v>7023.726432577944</v>
      </c>
      <c r="N75" s="326">
        <f t="shared" si="3"/>
        <v>7023.726432577944</v>
      </c>
      <c r="P75" s="292"/>
      <c r="Q75" s="105"/>
      <c r="R75" s="107"/>
      <c r="S75" s="285"/>
      <c r="T75" s="593"/>
      <c r="U75" s="607"/>
      <c r="V75" s="463"/>
      <c r="W75" s="316"/>
      <c r="X75" s="316"/>
      <c r="Y75" s="108"/>
      <c r="Z75" s="108"/>
      <c r="AA75" s="108"/>
      <c r="AB75" s="108"/>
      <c r="AC75" s="108"/>
      <c r="AD75" s="132">
        <f t="shared" si="2"/>
        <v>7023.726432577944</v>
      </c>
      <c r="AE75" s="12"/>
      <c r="AF75" s="12"/>
      <c r="AG75" s="12"/>
      <c r="AH75" s="12"/>
    </row>
    <row r="76" spans="1:34" ht="15.75">
      <c r="A76" s="135" t="s">
        <v>190</v>
      </c>
      <c r="B76" s="136">
        <v>686</v>
      </c>
      <c r="C76" s="136">
        <v>2210</v>
      </c>
      <c r="D76" s="137" t="s">
        <v>153</v>
      </c>
      <c r="E76" s="136" t="s">
        <v>191</v>
      </c>
      <c r="F76" s="138">
        <v>13362</v>
      </c>
      <c r="G76" s="136">
        <v>2</v>
      </c>
      <c r="H76" s="139">
        <v>0</v>
      </c>
      <c r="I76" s="140">
        <v>0</v>
      </c>
      <c r="J76" s="140">
        <v>0</v>
      </c>
      <c r="K76" s="140">
        <v>0</v>
      </c>
      <c r="L76" s="141"/>
      <c r="M76" s="537">
        <f>'Per-Ft'!$J$8+('Rent-List-adu'!F76-13000)*'Per-Ft'!$H$9</f>
        <v>7026.277109216665</v>
      </c>
      <c r="N76" s="326">
        <f t="shared" si="3"/>
        <v>7026.277109216665</v>
      </c>
      <c r="O76" s="142" t="s">
        <v>191</v>
      </c>
      <c r="P76" s="294">
        <v>4694</v>
      </c>
      <c r="Q76" s="143" t="s">
        <v>154</v>
      </c>
      <c r="R76" s="144">
        <v>750</v>
      </c>
      <c r="S76" s="154" t="s">
        <v>7</v>
      </c>
      <c r="T76" s="145">
        <v>775</v>
      </c>
      <c r="U76" s="155">
        <f>V76-Y76+Z76-AA76-AB76-AC76</f>
        <v>3288.930225</v>
      </c>
      <c r="V76" s="395">
        <f>T76*$V$4</f>
        <v>9041.15</v>
      </c>
      <c r="W76" s="317">
        <v>143451</v>
      </c>
      <c r="X76" s="317"/>
      <c r="Y76" s="146">
        <f>W76*$Y$4</f>
        <v>4303.53</v>
      </c>
      <c r="Z76" s="146">
        <f>W76*$Z$4</f>
        <v>2438.6670000000004</v>
      </c>
      <c r="AA76" s="146">
        <f>W76*$AA$4</f>
        <v>2295.216</v>
      </c>
      <c r="AB76" s="317">
        <f>W76*$AB$4</f>
        <v>430.353</v>
      </c>
      <c r="AC76" s="395">
        <f>V76*$AC$4</f>
        <v>1161.787775</v>
      </c>
      <c r="AD76" s="156">
        <f t="shared" si="2"/>
        <v>10315.207334216666</v>
      </c>
      <c r="AE76" s="12"/>
      <c r="AF76" s="12"/>
      <c r="AG76" s="12"/>
      <c r="AH76" s="12"/>
    </row>
    <row r="77" spans="2:34" ht="15.75">
      <c r="B77" s="147">
        <v>577</v>
      </c>
      <c r="C77" s="147">
        <v>2000</v>
      </c>
      <c r="D77" s="148" t="s">
        <v>64</v>
      </c>
      <c r="E77" s="147">
        <v>127</v>
      </c>
      <c r="F77" s="149">
        <v>13455</v>
      </c>
      <c r="G77" s="147">
        <v>1</v>
      </c>
      <c r="H77" s="150">
        <v>0</v>
      </c>
      <c r="I77" s="151">
        <v>0</v>
      </c>
      <c r="J77" s="130">
        <v>0</v>
      </c>
      <c r="K77" s="130">
        <f>'Per-Ft'!$L$9</f>
        <v>508.34595000000263</v>
      </c>
      <c r="L77" s="131"/>
      <c r="M77" s="341">
        <f>'Per-Ft'!$J$8+('Rent-List-adu'!F77-13000)*'Per-Ft'!$H$9</f>
        <v>7033.690013197945</v>
      </c>
      <c r="N77" s="326">
        <f t="shared" si="3"/>
        <v>6525.344063197942</v>
      </c>
      <c r="P77" s="292"/>
      <c r="Q77" s="105"/>
      <c r="R77" s="107"/>
      <c r="S77" s="285"/>
      <c r="T77" s="593"/>
      <c r="U77" s="607"/>
      <c r="V77" s="463"/>
      <c r="W77" s="316"/>
      <c r="X77" s="316"/>
      <c r="Y77" s="108"/>
      <c r="Z77" s="108"/>
      <c r="AA77" s="108"/>
      <c r="AB77" s="108"/>
      <c r="AC77" s="108"/>
      <c r="AD77" s="132">
        <f t="shared" si="2"/>
        <v>6525.344063197942</v>
      </c>
      <c r="AE77" s="12"/>
      <c r="AF77" s="12"/>
      <c r="AG77" s="12"/>
      <c r="AH77" s="12"/>
    </row>
    <row r="78" spans="2:34" ht="15.75">
      <c r="B78" s="147">
        <v>581</v>
      </c>
      <c r="C78" s="147">
        <v>2005</v>
      </c>
      <c r="D78" s="148" t="s">
        <v>64</v>
      </c>
      <c r="E78" s="147">
        <v>30</v>
      </c>
      <c r="F78" s="149">
        <v>13535</v>
      </c>
      <c r="G78" s="147">
        <v>1</v>
      </c>
      <c r="H78" s="150">
        <v>0</v>
      </c>
      <c r="I78" s="151">
        <v>0</v>
      </c>
      <c r="J78" s="130">
        <v>0</v>
      </c>
      <c r="K78" s="130">
        <f>'Per-Ft'!$L$9</f>
        <v>508.34595000000263</v>
      </c>
      <c r="L78" s="131"/>
      <c r="M78" s="341">
        <f>'Per-Ft'!$J$8+('Rent-List-adu'!F78-13000)*'Per-Ft'!$H$9</f>
        <v>7040.0667047947445</v>
      </c>
      <c r="N78" s="326">
        <f t="shared" si="3"/>
        <v>6531.720754794742</v>
      </c>
      <c r="P78" s="292"/>
      <c r="Q78" s="105"/>
      <c r="R78" s="107"/>
      <c r="S78" s="285"/>
      <c r="T78" s="593"/>
      <c r="U78" s="607"/>
      <c r="V78" s="463"/>
      <c r="W78" s="316"/>
      <c r="X78" s="316"/>
      <c r="Y78" s="108"/>
      <c r="Z78" s="108"/>
      <c r="AA78" s="108"/>
      <c r="AB78" s="108"/>
      <c r="AC78" s="108"/>
      <c r="AD78" s="132">
        <f t="shared" si="2"/>
        <v>6531.720754794742</v>
      </c>
      <c r="AE78" s="12"/>
      <c r="AF78" s="12"/>
      <c r="AG78" s="12"/>
      <c r="AH78" s="12"/>
    </row>
    <row r="79" spans="1:34" ht="15.75">
      <c r="A79" s="265" t="s">
        <v>217</v>
      </c>
      <c r="B79" s="266">
        <v>500</v>
      </c>
      <c r="C79" s="266">
        <v>2115</v>
      </c>
      <c r="D79" s="267" t="s">
        <v>55</v>
      </c>
      <c r="E79" s="266">
        <v>88</v>
      </c>
      <c r="F79" s="268">
        <v>13560</v>
      </c>
      <c r="G79" s="266">
        <v>1</v>
      </c>
      <c r="H79" s="547"/>
      <c r="I79" s="548">
        <v>0</v>
      </c>
      <c r="J79" s="555">
        <f>'Per-Ft'!$L$13</f>
        <v>254.1729750000004</v>
      </c>
      <c r="K79" s="548">
        <v>0</v>
      </c>
      <c r="L79" s="549"/>
      <c r="M79" s="550">
        <f>'Per-Ft'!$J$10+('Rent-List-adu'!F79-15000)*'Per-Ft'!$H$11</f>
        <v>7045.398765798132</v>
      </c>
      <c r="N79" s="326">
        <f t="shared" si="3"/>
        <v>6791.225790798132</v>
      </c>
      <c r="O79" s="271">
        <v>88</v>
      </c>
      <c r="P79" s="551">
        <v>2420</v>
      </c>
      <c r="Q79" s="272" t="s">
        <v>352</v>
      </c>
      <c r="R79" s="552">
        <v>820</v>
      </c>
      <c r="S79" s="553" t="s">
        <v>218</v>
      </c>
      <c r="T79" s="274">
        <v>1300</v>
      </c>
      <c r="U79" s="554">
        <f>V79-Y79+Z79-AA79-AB79-AC79</f>
        <v>8220.6747</v>
      </c>
      <c r="V79" s="405">
        <f>T79*$V$4</f>
        <v>15165.800000000001</v>
      </c>
      <c r="W79" s="325">
        <v>156135</v>
      </c>
      <c r="X79" s="325"/>
      <c r="Y79" s="275">
        <f>W79*$Y$4</f>
        <v>4684.05</v>
      </c>
      <c r="Z79" s="275">
        <f>W79*$Z$4</f>
        <v>2654.295</v>
      </c>
      <c r="AA79" s="275">
        <f>W79*$AA$4</f>
        <v>2498.16</v>
      </c>
      <c r="AB79" s="325">
        <f>W79*$AB$4</f>
        <v>468.40500000000003</v>
      </c>
      <c r="AC79" s="405">
        <f>V79*$AC$4</f>
        <v>1948.8053000000002</v>
      </c>
      <c r="AD79" s="276">
        <f t="shared" si="2"/>
        <v>15011.900490798133</v>
      </c>
      <c r="AE79" s="12"/>
      <c r="AF79" s="12"/>
      <c r="AG79" s="12"/>
      <c r="AH79" s="12"/>
    </row>
    <row r="80" spans="2:34" ht="15.75">
      <c r="B80" s="147">
        <v>642</v>
      </c>
      <c r="C80" s="147">
        <v>2207</v>
      </c>
      <c r="D80" s="148" t="s">
        <v>290</v>
      </c>
      <c r="E80" s="147">
        <v>52</v>
      </c>
      <c r="F80" s="149">
        <v>13772</v>
      </c>
      <c r="G80" s="147">
        <v>1</v>
      </c>
      <c r="H80" s="150">
        <v>0</v>
      </c>
      <c r="I80" s="130">
        <f>'Per-Ft'!$L$16</f>
        <v>254.17297500000132</v>
      </c>
      <c r="J80" s="151">
        <v>0</v>
      </c>
      <c r="K80" s="151">
        <v>0</v>
      </c>
      <c r="L80" s="131"/>
      <c r="M80" s="341">
        <f>'Per-Ft'!$J$8+('Rent-List-adu'!F80-13000)*'Per-Ft'!$H$9</f>
        <v>7058.957653650265</v>
      </c>
      <c r="N80" s="326">
        <f t="shared" si="3"/>
        <v>7313.130628650266</v>
      </c>
      <c r="P80" s="292"/>
      <c r="Q80" s="105"/>
      <c r="R80" s="107"/>
      <c r="S80" s="285"/>
      <c r="T80" s="593"/>
      <c r="U80" s="607"/>
      <c r="V80" s="463"/>
      <c r="W80" s="316"/>
      <c r="X80" s="316"/>
      <c r="Y80" s="108"/>
      <c r="Z80" s="108"/>
      <c r="AA80" s="108"/>
      <c r="AB80" s="108"/>
      <c r="AC80" s="108"/>
      <c r="AD80" s="132">
        <f t="shared" si="2"/>
        <v>7313.130628650266</v>
      </c>
      <c r="AE80" s="12"/>
      <c r="AF80" s="12"/>
      <c r="AG80" s="12"/>
      <c r="AH80" s="12"/>
    </row>
    <row r="81" spans="2:34" ht="15.75">
      <c r="B81" s="164">
        <v>504</v>
      </c>
      <c r="C81" s="164">
        <v>2035</v>
      </c>
      <c r="D81" s="175" t="s">
        <v>55</v>
      </c>
      <c r="E81" s="164" t="s">
        <v>277</v>
      </c>
      <c r="F81" s="163">
        <v>13790</v>
      </c>
      <c r="G81" s="164">
        <v>1</v>
      </c>
      <c r="H81" s="150">
        <f>'Per-Ft'!$L$19</f>
        <v>508.3459499999999</v>
      </c>
      <c r="I81" s="176">
        <v>0</v>
      </c>
      <c r="J81" s="176">
        <v>0</v>
      </c>
      <c r="K81" s="176">
        <v>0</v>
      </c>
      <c r="L81" s="177"/>
      <c r="M81" s="341">
        <f>'Per-Ft'!$J$8+('Rent-List-adu'!F81-13000)*'Per-Ft'!$H$9</f>
        <v>7060.392409259544</v>
      </c>
      <c r="N81" s="326">
        <f t="shared" si="3"/>
        <v>7568.738359259544</v>
      </c>
      <c r="P81" s="292"/>
      <c r="Q81" s="105"/>
      <c r="R81" s="107"/>
      <c r="S81" s="285"/>
      <c r="T81" s="593"/>
      <c r="U81" s="607"/>
      <c r="V81" s="463"/>
      <c r="W81" s="316"/>
      <c r="X81" s="316"/>
      <c r="Y81" s="108"/>
      <c r="Z81" s="108"/>
      <c r="AA81" s="108"/>
      <c r="AB81" s="108"/>
      <c r="AC81" s="108"/>
      <c r="AD81" s="132">
        <f t="shared" si="2"/>
        <v>7568.738359259544</v>
      </c>
      <c r="AE81" s="12"/>
      <c r="AF81" s="12"/>
      <c r="AG81" s="12"/>
      <c r="AH81" s="12"/>
    </row>
    <row r="82" spans="2:34" ht="15.75">
      <c r="B82" s="147">
        <v>632</v>
      </c>
      <c r="C82" s="147">
        <v>1809</v>
      </c>
      <c r="D82" s="148" t="s">
        <v>64</v>
      </c>
      <c r="E82" s="147">
        <v>44</v>
      </c>
      <c r="F82" s="149">
        <v>13955</v>
      </c>
      <c r="G82" s="147">
        <v>1</v>
      </c>
      <c r="H82" s="150">
        <v>0</v>
      </c>
      <c r="I82" s="151">
        <v>0</v>
      </c>
      <c r="J82" s="130">
        <f>'Per-Ft'!$L$13</f>
        <v>254.1729750000004</v>
      </c>
      <c r="K82" s="151">
        <v>0</v>
      </c>
      <c r="L82" s="131"/>
      <c r="M82" s="341">
        <f>'Per-Ft'!$J$8+('Rent-List-adu'!F82-13000)*'Per-Ft'!$H$9</f>
        <v>7073.544335677944</v>
      </c>
      <c r="N82" s="326">
        <f t="shared" si="3"/>
        <v>6819.371360677944</v>
      </c>
      <c r="P82" s="292"/>
      <c r="Q82" s="105"/>
      <c r="R82" s="107"/>
      <c r="S82" s="285"/>
      <c r="T82" s="593"/>
      <c r="U82" s="607"/>
      <c r="V82" s="463"/>
      <c r="W82" s="316"/>
      <c r="X82" s="316"/>
      <c r="Y82" s="108"/>
      <c r="Z82" s="108"/>
      <c r="AA82" s="108"/>
      <c r="AB82" s="108"/>
      <c r="AC82" s="108"/>
      <c r="AD82" s="132">
        <f t="shared" si="2"/>
        <v>6819.371360677944</v>
      </c>
      <c r="AE82" s="12"/>
      <c r="AF82" s="12"/>
      <c r="AG82" s="12"/>
      <c r="AH82" s="12"/>
    </row>
    <row r="83" spans="2:34" ht="15.75">
      <c r="B83" s="147">
        <v>617</v>
      </c>
      <c r="C83" s="147">
        <v>2305</v>
      </c>
      <c r="D83" s="148" t="s">
        <v>398</v>
      </c>
      <c r="E83" s="147">
        <v>23.5</v>
      </c>
      <c r="F83" s="149">
        <v>13994</v>
      </c>
      <c r="G83" s="147">
        <v>1</v>
      </c>
      <c r="H83" s="150">
        <f>'Per-Ft'!$L$19</f>
        <v>508.3459499999999</v>
      </c>
      <c r="I83" s="151">
        <v>0</v>
      </c>
      <c r="J83" s="151">
        <v>0</v>
      </c>
      <c r="K83" s="151">
        <v>0</v>
      </c>
      <c r="L83" s="131"/>
      <c r="M83" s="341">
        <f>'Per-Ft'!$J$8+('Rent-List-adu'!F83-13000)*'Per-Ft'!$H$9</f>
        <v>7076.652972831384</v>
      </c>
      <c r="N83" s="326">
        <f t="shared" si="3"/>
        <v>7584.998922831384</v>
      </c>
      <c r="P83" s="292"/>
      <c r="Q83" s="105"/>
      <c r="R83" s="107"/>
      <c r="S83" s="285"/>
      <c r="T83" s="593"/>
      <c r="U83" s="607"/>
      <c r="V83" s="463"/>
      <c r="W83" s="316"/>
      <c r="X83" s="316"/>
      <c r="Y83" s="108"/>
      <c r="Z83" s="108"/>
      <c r="AA83" s="108"/>
      <c r="AB83" s="108"/>
      <c r="AC83" s="108"/>
      <c r="AD83" s="132">
        <f t="shared" si="2"/>
        <v>7584.998922831384</v>
      </c>
      <c r="AE83" s="12"/>
      <c r="AF83" s="12"/>
      <c r="AG83" s="12"/>
      <c r="AH83" s="12"/>
    </row>
    <row r="84" spans="1:34" ht="15.75">
      <c r="A84" s="135" t="s">
        <v>86</v>
      </c>
      <c r="B84" s="136">
        <v>511</v>
      </c>
      <c r="C84" s="136">
        <v>2102</v>
      </c>
      <c r="D84" s="137" t="s">
        <v>64</v>
      </c>
      <c r="E84" s="136">
        <v>99</v>
      </c>
      <c r="F84" s="138">
        <v>14050</v>
      </c>
      <c r="G84" s="136">
        <v>2</v>
      </c>
      <c r="H84" s="139">
        <v>0</v>
      </c>
      <c r="I84" s="140">
        <v>0</v>
      </c>
      <c r="J84" s="152"/>
      <c r="K84" s="152">
        <f>'Per-Ft'!$L$9</f>
        <v>508.34595000000263</v>
      </c>
      <c r="L84" s="141"/>
      <c r="M84" s="537">
        <f>'Per-Ft'!$J$9+('Rent-List-adu'!F84-14000)*'Per-Ft'!$H$10</f>
        <v>7081.033694890105</v>
      </c>
      <c r="N84" s="326">
        <f t="shared" si="3"/>
        <v>6572.687744890102</v>
      </c>
      <c r="O84" s="142">
        <v>99</v>
      </c>
      <c r="P84" s="294">
        <v>5950</v>
      </c>
      <c r="Q84" s="143" t="s">
        <v>53</v>
      </c>
      <c r="R84" s="144">
        <v>900</v>
      </c>
      <c r="S84" s="154"/>
      <c r="T84" s="145">
        <v>850</v>
      </c>
      <c r="U84" s="317">
        <f>V84-Y84+Z84-AA84-AB84-AC84</f>
        <v>4552.441149999999</v>
      </c>
      <c r="V84" s="395">
        <f>T84*$V$4</f>
        <v>9916.1</v>
      </c>
      <c r="W84" s="317">
        <v>127795</v>
      </c>
      <c r="X84" s="317"/>
      <c r="Y84" s="146">
        <f>W84*$Y$4</f>
        <v>3833.85</v>
      </c>
      <c r="Z84" s="146">
        <f>W84*$Z$4</f>
        <v>2172.5150000000003</v>
      </c>
      <c r="AA84" s="146">
        <f>W84*$AA$4</f>
        <v>2044.72</v>
      </c>
      <c r="AB84" s="317">
        <f>W84*$AB$4</f>
        <v>383.385</v>
      </c>
      <c r="AC84" s="395">
        <f>V84*$AC$4</f>
        <v>1274.21885</v>
      </c>
      <c r="AD84" s="156">
        <f t="shared" si="2"/>
        <v>11125.128894890102</v>
      </c>
      <c r="AE84" s="12"/>
      <c r="AF84" s="12"/>
      <c r="AG84" s="12"/>
      <c r="AH84" s="12"/>
    </row>
    <row r="85" spans="2:34" ht="15.75">
      <c r="B85" s="147">
        <v>677</v>
      </c>
      <c r="C85" s="147">
        <v>2409</v>
      </c>
      <c r="D85" s="148" t="s">
        <v>279</v>
      </c>
      <c r="E85" s="147">
        <v>77.5</v>
      </c>
      <c r="F85" s="149">
        <v>14435</v>
      </c>
      <c r="G85" s="147">
        <v>1</v>
      </c>
      <c r="H85" s="150">
        <f>'Per-Ft'!$L$19</f>
        <v>508.3459499999999</v>
      </c>
      <c r="I85" s="151">
        <v>0</v>
      </c>
      <c r="J85" s="151">
        <v>0</v>
      </c>
      <c r="K85" s="151">
        <v>0</v>
      </c>
      <c r="L85" s="131"/>
      <c r="M85" s="341">
        <f>'Per-Ft'!$J$9+('Rent-List-adu'!F85-14000)*'Per-Ft'!$H$10</f>
        <v>7111.082715345096</v>
      </c>
      <c r="N85" s="326">
        <f t="shared" si="3"/>
        <v>7619.428665345096</v>
      </c>
      <c r="P85" s="292"/>
      <c r="Q85" s="105"/>
      <c r="R85" s="107"/>
      <c r="S85" s="285"/>
      <c r="T85" s="593"/>
      <c r="U85" s="607"/>
      <c r="V85" s="463"/>
      <c r="W85" s="316"/>
      <c r="X85" s="316"/>
      <c r="Y85" s="108"/>
      <c r="Z85" s="108"/>
      <c r="AA85" s="108"/>
      <c r="AB85" s="108"/>
      <c r="AC85" s="108"/>
      <c r="AD85" s="132">
        <f t="shared" si="2"/>
        <v>7619.428665345096</v>
      </c>
      <c r="AE85" s="12"/>
      <c r="AF85" s="12"/>
      <c r="AG85" s="12"/>
      <c r="AH85" s="12"/>
    </row>
    <row r="86" spans="2:34" ht="15.75">
      <c r="B86" s="147">
        <v>608</v>
      </c>
      <c r="C86" s="147">
        <v>2204</v>
      </c>
      <c r="D86" s="148" t="s">
        <v>1</v>
      </c>
      <c r="E86" s="147">
        <v>17.5</v>
      </c>
      <c r="F86" s="149">
        <v>14779</v>
      </c>
      <c r="G86" s="147">
        <v>1</v>
      </c>
      <c r="H86" s="150">
        <v>0</v>
      </c>
      <c r="I86" s="151">
        <v>0</v>
      </c>
      <c r="J86" s="151">
        <v>0</v>
      </c>
      <c r="K86" s="151">
        <v>0</v>
      </c>
      <c r="L86" s="131"/>
      <c r="M86" s="341">
        <f>'Per-Ft'!$J$9+('Rent-List-adu'!F86-14000)*'Per-Ft'!$H$10</f>
        <v>7137.931710245141</v>
      </c>
      <c r="N86" s="326">
        <f t="shared" si="3"/>
        <v>7137.931710245141</v>
      </c>
      <c r="P86" s="292"/>
      <c r="Q86" s="105"/>
      <c r="R86" s="107"/>
      <c r="S86" s="285"/>
      <c r="T86" s="593"/>
      <c r="U86" s="607"/>
      <c r="V86" s="463"/>
      <c r="W86" s="316"/>
      <c r="X86" s="316"/>
      <c r="Y86" s="108"/>
      <c r="Z86" s="108"/>
      <c r="AA86" s="108"/>
      <c r="AB86" s="108"/>
      <c r="AC86" s="108"/>
      <c r="AD86" s="132">
        <f t="shared" si="2"/>
        <v>7137.931710245141</v>
      </c>
      <c r="AE86" s="12"/>
      <c r="AF86" s="12"/>
      <c r="AG86" s="12"/>
      <c r="AH86" s="12"/>
    </row>
    <row r="87" spans="2:34" ht="15.75">
      <c r="B87" s="147">
        <v>654</v>
      </c>
      <c r="C87" s="147">
        <v>2301</v>
      </c>
      <c r="D87" s="148" t="s">
        <v>134</v>
      </c>
      <c r="E87" s="147">
        <v>56</v>
      </c>
      <c r="F87" s="149">
        <v>14800</v>
      </c>
      <c r="G87" s="147">
        <v>1</v>
      </c>
      <c r="H87" s="150">
        <v>0</v>
      </c>
      <c r="I87" s="151">
        <v>0</v>
      </c>
      <c r="J87" s="151">
        <v>0</v>
      </c>
      <c r="K87" s="151">
        <v>0</v>
      </c>
      <c r="L87" s="131"/>
      <c r="M87" s="341">
        <f>'Per-Ft'!$J$9+('Rent-List-adu'!F87-14000)*'Per-Ft'!$H$10</f>
        <v>7139.570747724505</v>
      </c>
      <c r="N87" s="326">
        <f t="shared" si="3"/>
        <v>7139.570747724505</v>
      </c>
      <c r="P87" s="292"/>
      <c r="Q87" s="105"/>
      <c r="R87" s="107"/>
      <c r="S87" s="285"/>
      <c r="T87" s="593"/>
      <c r="U87" s="607"/>
      <c r="V87" s="463"/>
      <c r="W87" s="316"/>
      <c r="X87" s="316"/>
      <c r="Y87" s="108"/>
      <c r="Z87" s="108"/>
      <c r="AA87" s="108"/>
      <c r="AB87" s="108"/>
      <c r="AC87" s="108"/>
      <c r="AD87" s="132">
        <f t="shared" si="2"/>
        <v>7139.570747724505</v>
      </c>
      <c r="AE87" s="12"/>
      <c r="AF87" s="12"/>
      <c r="AG87" s="12"/>
      <c r="AH87" s="12"/>
    </row>
    <row r="88" spans="2:34" ht="15.75">
      <c r="B88" s="147">
        <v>690</v>
      </c>
      <c r="C88" s="147">
        <v>2311</v>
      </c>
      <c r="D88" s="148" t="s">
        <v>279</v>
      </c>
      <c r="E88" s="147" t="s">
        <v>292</v>
      </c>
      <c r="F88" s="149">
        <v>14838</v>
      </c>
      <c r="G88" s="147">
        <v>1</v>
      </c>
      <c r="H88" s="150">
        <v>0</v>
      </c>
      <c r="I88" s="130">
        <f>'Per-Ft'!$L$16</f>
        <v>254.17297500000132</v>
      </c>
      <c r="J88" s="151">
        <v>0</v>
      </c>
      <c r="K88" s="151">
        <v>0</v>
      </c>
      <c r="L88" s="131"/>
      <c r="M88" s="341">
        <f>'Per-Ft'!$J$9+('Rent-List-adu'!F88-14000)*'Per-Ft'!$H$10</f>
        <v>7142.5366250681145</v>
      </c>
      <c r="N88" s="326">
        <f t="shared" si="3"/>
        <v>7396.709600068116</v>
      </c>
      <c r="P88" s="292"/>
      <c r="Q88" s="105"/>
      <c r="R88" s="107"/>
      <c r="S88" s="285"/>
      <c r="T88" s="593"/>
      <c r="U88" s="607"/>
      <c r="V88" s="463"/>
      <c r="W88" s="316"/>
      <c r="X88" s="316"/>
      <c r="Y88" s="108"/>
      <c r="Z88" s="108"/>
      <c r="AA88" s="108"/>
      <c r="AB88" s="108"/>
      <c r="AC88" s="108"/>
      <c r="AD88" s="132">
        <f t="shared" si="2"/>
        <v>7396.709600068116</v>
      </c>
      <c r="AE88" s="12"/>
      <c r="AF88" s="12"/>
      <c r="AG88" s="12"/>
      <c r="AH88" s="12"/>
    </row>
    <row r="89" spans="2:34" ht="15.75">
      <c r="B89" s="147">
        <v>655</v>
      </c>
      <c r="C89" s="147">
        <v>1705</v>
      </c>
      <c r="D89" s="148" t="s">
        <v>164</v>
      </c>
      <c r="E89" s="147" t="s">
        <v>400</v>
      </c>
      <c r="F89" s="149">
        <v>14852</v>
      </c>
      <c r="G89" s="147">
        <v>1</v>
      </c>
      <c r="H89" s="150">
        <v>0</v>
      </c>
      <c r="I89" s="151">
        <v>0</v>
      </c>
      <c r="J89" s="151">
        <v>0</v>
      </c>
      <c r="K89" s="151">
        <v>0</v>
      </c>
      <c r="L89" s="131"/>
      <c r="M89" s="341">
        <f>'Per-Ft'!$J$9+('Rent-List-adu'!F89-14000)*'Per-Ft'!$H$10</f>
        <v>7143.629316721023</v>
      </c>
      <c r="N89" s="326">
        <f t="shared" si="3"/>
        <v>7143.629316721023</v>
      </c>
      <c r="P89" s="292"/>
      <c r="Q89" s="105"/>
      <c r="R89" s="107"/>
      <c r="S89" s="285"/>
      <c r="T89" s="593"/>
      <c r="U89" s="607"/>
      <c r="V89" s="463"/>
      <c r="W89" s="316"/>
      <c r="X89" s="316"/>
      <c r="Y89" s="108"/>
      <c r="Z89" s="108"/>
      <c r="AA89" s="108"/>
      <c r="AB89" s="108"/>
      <c r="AC89" s="108"/>
      <c r="AD89" s="132">
        <f t="shared" si="2"/>
        <v>7143.629316721023</v>
      </c>
      <c r="AE89" s="12"/>
      <c r="AF89" s="12"/>
      <c r="AG89" s="12"/>
      <c r="AH89" s="12"/>
    </row>
    <row r="90" spans="2:34" ht="15.75">
      <c r="B90" s="147">
        <v>652</v>
      </c>
      <c r="C90" s="147">
        <v>2309</v>
      </c>
      <c r="D90" s="148" t="s">
        <v>134</v>
      </c>
      <c r="E90" s="147">
        <v>58</v>
      </c>
      <c r="F90" s="149">
        <v>14898</v>
      </c>
      <c r="G90" s="147">
        <v>1</v>
      </c>
      <c r="H90" s="150">
        <v>0</v>
      </c>
      <c r="I90" s="151">
        <v>0</v>
      </c>
      <c r="J90" s="151">
        <v>0</v>
      </c>
      <c r="K90" s="151">
        <v>0</v>
      </c>
      <c r="L90" s="131"/>
      <c r="M90" s="341">
        <f>'Per-Ft'!$J$9+('Rent-List-adu'!F90-14000)*'Per-Ft'!$H$10</f>
        <v>7147.219589294867</v>
      </c>
      <c r="N90" s="326">
        <f t="shared" si="3"/>
        <v>7147.219589294867</v>
      </c>
      <c r="P90" s="292"/>
      <c r="Q90" s="105"/>
      <c r="R90" s="107"/>
      <c r="S90" s="285"/>
      <c r="T90" s="593"/>
      <c r="U90" s="607"/>
      <c r="V90" s="463"/>
      <c r="W90" s="316"/>
      <c r="X90" s="316"/>
      <c r="Y90" s="108"/>
      <c r="Z90" s="108"/>
      <c r="AA90" s="108"/>
      <c r="AB90" s="108"/>
      <c r="AC90" s="108"/>
      <c r="AD90" s="132">
        <f t="shared" si="2"/>
        <v>7147.219589294867</v>
      </c>
      <c r="AE90" s="12"/>
      <c r="AF90" s="12"/>
      <c r="AG90" s="12"/>
      <c r="AH90" s="12"/>
    </row>
    <row r="91" spans="2:34" ht="15.75">
      <c r="B91" s="147">
        <v>580</v>
      </c>
      <c r="C91" s="147">
        <v>2007</v>
      </c>
      <c r="D91" s="148" t="s">
        <v>64</v>
      </c>
      <c r="E91" s="147">
        <v>29.5</v>
      </c>
      <c r="F91" s="149">
        <v>14923</v>
      </c>
      <c r="G91" s="147">
        <v>1</v>
      </c>
      <c r="H91" s="150">
        <v>0</v>
      </c>
      <c r="I91" s="151">
        <v>0</v>
      </c>
      <c r="J91" s="130">
        <v>0</v>
      </c>
      <c r="K91" s="130">
        <f>'Per-Ft'!$L$9</f>
        <v>508.34595000000263</v>
      </c>
      <c r="L91" s="131"/>
      <c r="M91" s="341">
        <f>'Per-Ft'!$J$9+('Rent-List-adu'!F91-14000)*'Per-Ft'!$H$10</f>
        <v>7149.170824389346</v>
      </c>
      <c r="N91" s="326">
        <f t="shared" si="3"/>
        <v>6640.824874389344</v>
      </c>
      <c r="P91" s="292"/>
      <c r="Q91" s="105"/>
      <c r="R91" s="107"/>
      <c r="S91" s="285"/>
      <c r="T91" s="593"/>
      <c r="U91" s="607"/>
      <c r="V91" s="463"/>
      <c r="W91" s="316"/>
      <c r="X91" s="316"/>
      <c r="Y91" s="108"/>
      <c r="Z91" s="108"/>
      <c r="AA91" s="108"/>
      <c r="AB91" s="108"/>
      <c r="AC91" s="108"/>
      <c r="AD91" s="132">
        <f t="shared" si="2"/>
        <v>6640.824874389344</v>
      </c>
      <c r="AE91" s="12"/>
      <c r="AF91" s="12"/>
      <c r="AG91" s="12"/>
      <c r="AH91" s="12"/>
    </row>
    <row r="92" spans="2:34" ht="15.75">
      <c r="B92" s="147">
        <v>596</v>
      </c>
      <c r="C92" s="147">
        <v>2109</v>
      </c>
      <c r="D92" s="148" t="s">
        <v>64</v>
      </c>
      <c r="E92" s="147">
        <v>5</v>
      </c>
      <c r="F92" s="149">
        <v>14993</v>
      </c>
      <c r="G92" s="147">
        <v>1</v>
      </c>
      <c r="H92" s="150">
        <v>0</v>
      </c>
      <c r="I92" s="151">
        <v>0</v>
      </c>
      <c r="J92" s="130">
        <v>0</v>
      </c>
      <c r="K92" s="130">
        <f>'Per-Ft'!$L$9</f>
        <v>508.34595000000263</v>
      </c>
      <c r="L92" s="131"/>
      <c r="M92" s="341">
        <f>'Per-Ft'!$J$9+('Rent-List-adu'!F92-14000)*'Per-Ft'!$H$10</f>
        <v>7154.63428265389</v>
      </c>
      <c r="N92" s="326">
        <f t="shared" si="3"/>
        <v>6646.288332653888</v>
      </c>
      <c r="P92" s="292"/>
      <c r="Q92" s="105"/>
      <c r="R92" s="107"/>
      <c r="S92" s="285"/>
      <c r="T92" s="593"/>
      <c r="U92" s="607"/>
      <c r="V92" s="463"/>
      <c r="W92" s="316"/>
      <c r="X92" s="316"/>
      <c r="Y92" s="108"/>
      <c r="Z92" s="108"/>
      <c r="AA92" s="108"/>
      <c r="AB92" s="108"/>
      <c r="AC92" s="108"/>
      <c r="AD92" s="132">
        <f t="shared" si="2"/>
        <v>6646.288332653888</v>
      </c>
      <c r="AE92" s="12"/>
      <c r="AF92" s="12"/>
      <c r="AG92" s="12"/>
      <c r="AH92" s="12"/>
    </row>
    <row r="93" spans="2:34" ht="15.75">
      <c r="B93" s="147">
        <v>516</v>
      </c>
      <c r="C93" s="147">
        <v>2109</v>
      </c>
      <c r="D93" s="148" t="s">
        <v>294</v>
      </c>
      <c r="E93" s="147">
        <v>95.5</v>
      </c>
      <c r="F93" s="149">
        <v>15000</v>
      </c>
      <c r="G93" s="147">
        <v>1</v>
      </c>
      <c r="H93" s="150">
        <v>0</v>
      </c>
      <c r="I93" s="151">
        <v>0</v>
      </c>
      <c r="J93" s="151">
        <v>0</v>
      </c>
      <c r="K93" s="151">
        <v>0</v>
      </c>
      <c r="L93" s="131"/>
      <c r="M93" s="341">
        <f>'Per-Ft'!$J$10+('Rent-List-adu'!F93-15000)*'Per-Ft'!$H$11</f>
        <v>7155.180628480345</v>
      </c>
      <c r="N93" s="326">
        <f t="shared" si="3"/>
        <v>7155.180628480345</v>
      </c>
      <c r="P93" s="292"/>
      <c r="Q93" s="105"/>
      <c r="R93" s="107"/>
      <c r="S93" s="285"/>
      <c r="T93" s="593"/>
      <c r="U93" s="607"/>
      <c r="V93" s="463"/>
      <c r="W93" s="316"/>
      <c r="X93" s="316"/>
      <c r="Y93" s="108"/>
      <c r="Z93" s="108"/>
      <c r="AA93" s="108"/>
      <c r="AB93" s="108"/>
      <c r="AC93" s="108"/>
      <c r="AD93" s="132">
        <f t="shared" si="2"/>
        <v>7155.180628480345</v>
      </c>
      <c r="AE93" s="12"/>
      <c r="AF93" s="12"/>
      <c r="AG93" s="12"/>
      <c r="AH93" s="12"/>
    </row>
    <row r="94" spans="1:34" ht="15.75">
      <c r="A94" s="135" t="s">
        <v>325</v>
      </c>
      <c r="B94" s="136">
        <v>656</v>
      </c>
      <c r="C94" s="136">
        <v>2308</v>
      </c>
      <c r="D94" s="137" t="s">
        <v>134</v>
      </c>
      <c r="E94" s="136">
        <v>64</v>
      </c>
      <c r="F94" s="138">
        <v>15000</v>
      </c>
      <c r="G94" s="136">
        <v>2</v>
      </c>
      <c r="H94" s="139">
        <v>0</v>
      </c>
      <c r="I94" s="140">
        <v>0</v>
      </c>
      <c r="J94" s="140">
        <v>0</v>
      </c>
      <c r="K94" s="140">
        <v>0</v>
      </c>
      <c r="L94" s="141"/>
      <c r="M94" s="537">
        <f>'Per-Ft'!$J$10+('Rent-List-adu'!F94-15000)*'Per-Ft'!$H$11</f>
        <v>7155.180628480345</v>
      </c>
      <c r="N94" s="326">
        <f t="shared" si="3"/>
        <v>7155.180628480345</v>
      </c>
      <c r="O94" s="142">
        <v>64</v>
      </c>
      <c r="P94" s="294">
        <v>6126</v>
      </c>
      <c r="Q94" s="143" t="s">
        <v>155</v>
      </c>
      <c r="R94" s="144">
        <v>850</v>
      </c>
      <c r="S94" s="154" t="s">
        <v>7</v>
      </c>
      <c r="T94" s="145">
        <v>850</v>
      </c>
      <c r="U94" s="155">
        <f>V94-Y94+Z94-AA94-AB94-AC94</f>
        <v>4711.993150000001</v>
      </c>
      <c r="V94" s="395">
        <f>T94*$V$4</f>
        <v>9916.1</v>
      </c>
      <c r="W94" s="317">
        <v>122809</v>
      </c>
      <c r="X94" s="317"/>
      <c r="Y94" s="146">
        <f>W94*$Y$4</f>
        <v>3684.27</v>
      </c>
      <c r="Z94" s="146">
        <f>W94*$Z$4</f>
        <v>2087.753</v>
      </c>
      <c r="AA94" s="146">
        <f>W94*$AA$4</f>
        <v>1964.944</v>
      </c>
      <c r="AB94" s="317">
        <f>W94*$AB$4</f>
        <v>368.427</v>
      </c>
      <c r="AC94" s="395">
        <f>V94*$AC$4</f>
        <v>1274.21885</v>
      </c>
      <c r="AD94" s="156">
        <f t="shared" si="2"/>
        <v>11867.173778480346</v>
      </c>
      <c r="AE94" s="12"/>
      <c r="AF94" s="12"/>
      <c r="AG94" s="12"/>
      <c r="AH94" s="12"/>
    </row>
    <row r="95" spans="2:34" ht="15.75">
      <c r="B95" s="147">
        <v>651</v>
      </c>
      <c r="C95" s="147">
        <v>2311</v>
      </c>
      <c r="D95" s="148" t="s">
        <v>134</v>
      </c>
      <c r="E95" s="147">
        <v>58.5</v>
      </c>
      <c r="F95" s="149">
        <v>15000</v>
      </c>
      <c r="G95" s="147">
        <v>1</v>
      </c>
      <c r="H95" s="150">
        <v>0</v>
      </c>
      <c r="I95" s="151">
        <v>0</v>
      </c>
      <c r="J95" s="151">
        <v>0</v>
      </c>
      <c r="K95" s="151">
        <v>0</v>
      </c>
      <c r="L95" s="131"/>
      <c r="M95" s="341">
        <f>'Per-Ft'!$J$10+('Rent-List-adu'!F95-15000)*'Per-Ft'!$H$11</f>
        <v>7155.180628480345</v>
      </c>
      <c r="N95" s="326">
        <f t="shared" si="3"/>
        <v>7155.180628480345</v>
      </c>
      <c r="P95" s="292"/>
      <c r="Q95" s="105"/>
      <c r="R95" s="107"/>
      <c r="S95" s="285"/>
      <c r="T95" s="593"/>
      <c r="U95" s="607"/>
      <c r="V95" s="463"/>
      <c r="W95" s="316"/>
      <c r="X95" s="316"/>
      <c r="Y95" s="108"/>
      <c r="Z95" s="108"/>
      <c r="AA95" s="108"/>
      <c r="AB95" s="108"/>
      <c r="AC95" s="108"/>
      <c r="AD95" s="132">
        <f t="shared" si="2"/>
        <v>7155.180628480345</v>
      </c>
      <c r="AE95" s="12"/>
      <c r="AF95" s="12"/>
      <c r="AG95" s="12"/>
      <c r="AH95" s="12"/>
    </row>
    <row r="96" spans="2:34" ht="15.75">
      <c r="B96" s="147">
        <v>638</v>
      </c>
      <c r="C96" s="147">
        <v>2210</v>
      </c>
      <c r="D96" s="148" t="s">
        <v>180</v>
      </c>
      <c r="E96" s="147">
        <v>50</v>
      </c>
      <c r="F96" s="149">
        <v>15123</v>
      </c>
      <c r="G96" s="147">
        <v>1</v>
      </c>
      <c r="H96" s="150">
        <v>0</v>
      </c>
      <c r="I96" s="130">
        <f>'Per-Ft'!$L$16</f>
        <v>254.17297500000132</v>
      </c>
      <c r="J96" s="151">
        <v>0</v>
      </c>
      <c r="K96" s="151">
        <v>0</v>
      </c>
      <c r="L96" s="131"/>
      <c r="M96" s="341">
        <f>'Per-Ft'!$J$10+('Rent-List-adu'!F96-15000)*'Per-Ft'!$H$11</f>
        <v>7164.557829251117</v>
      </c>
      <c r="N96" s="326">
        <f t="shared" si="3"/>
        <v>7418.730804251119</v>
      </c>
      <c r="P96" s="292"/>
      <c r="Q96" s="105"/>
      <c r="R96" s="107"/>
      <c r="S96" s="285"/>
      <c r="T96" s="593"/>
      <c r="U96" s="607"/>
      <c r="V96" s="463"/>
      <c r="W96" s="316"/>
      <c r="X96" s="316"/>
      <c r="Y96" s="108"/>
      <c r="Z96" s="108"/>
      <c r="AA96" s="108"/>
      <c r="AB96" s="108"/>
      <c r="AC96" s="108"/>
      <c r="AD96" s="132">
        <f t="shared" si="2"/>
        <v>7418.730804251119</v>
      </c>
      <c r="AE96" s="12"/>
      <c r="AF96" s="12"/>
      <c r="AG96" s="12"/>
      <c r="AH96" s="12"/>
    </row>
    <row r="97" spans="2:34" ht="15.75">
      <c r="B97" s="147">
        <v>627</v>
      </c>
      <c r="C97" s="147">
        <v>1905</v>
      </c>
      <c r="D97" s="148" t="s">
        <v>64</v>
      </c>
      <c r="E97" s="147">
        <v>33</v>
      </c>
      <c r="F97" s="149">
        <v>15185</v>
      </c>
      <c r="G97" s="164">
        <v>1</v>
      </c>
      <c r="H97" s="150">
        <v>0</v>
      </c>
      <c r="I97" s="151">
        <v>0</v>
      </c>
      <c r="J97" s="151">
        <v>0</v>
      </c>
      <c r="K97" s="151">
        <v>0</v>
      </c>
      <c r="L97" s="131"/>
      <c r="M97" s="341">
        <f>'Per-Ft'!$J$10+('Rent-List-adu'!F97-15000)*'Per-Ft'!$H$11</f>
        <v>7169.284548338824</v>
      </c>
      <c r="N97" s="326">
        <f t="shared" si="3"/>
        <v>7169.284548338824</v>
      </c>
      <c r="P97" s="292"/>
      <c r="Q97" s="105"/>
      <c r="R97" s="107"/>
      <c r="S97" s="285"/>
      <c r="T97" s="593"/>
      <c r="U97" s="607"/>
      <c r="V97" s="463"/>
      <c r="W97" s="316"/>
      <c r="X97" s="316"/>
      <c r="Y97" s="108"/>
      <c r="Z97" s="108"/>
      <c r="AA97" s="108"/>
      <c r="AB97" s="108"/>
      <c r="AC97" s="108"/>
      <c r="AD97" s="132">
        <f t="shared" si="2"/>
        <v>7169.284548338824</v>
      </c>
      <c r="AE97" s="12"/>
      <c r="AF97" s="12"/>
      <c r="AG97" s="12"/>
      <c r="AH97" s="12"/>
    </row>
    <row r="98" spans="2:34" ht="15.75">
      <c r="B98" s="147">
        <v>527</v>
      </c>
      <c r="C98" s="147">
        <v>1912</v>
      </c>
      <c r="D98" s="148" t="s">
        <v>294</v>
      </c>
      <c r="E98" s="147">
        <v>108</v>
      </c>
      <c r="F98" s="163">
        <v>15316</v>
      </c>
      <c r="G98" s="147">
        <v>1</v>
      </c>
      <c r="H98" s="150">
        <f>'Per-Ft'!$L$19</f>
        <v>508.3459499999999</v>
      </c>
      <c r="I98" s="151">
        <v>0</v>
      </c>
      <c r="J98" s="151">
        <v>0</v>
      </c>
      <c r="K98" s="151">
        <v>0</v>
      </c>
      <c r="L98" s="131"/>
      <c r="M98" s="341">
        <f>'Per-Ft'!$J$10+('Rent-List-adu'!F98-15000)*'Per-Ft'!$H$11</f>
        <v>7179.271648346719</v>
      </c>
      <c r="N98" s="326">
        <f t="shared" si="3"/>
        <v>7687.617598346719</v>
      </c>
      <c r="P98" s="292"/>
      <c r="Q98" s="105"/>
      <c r="R98" s="107"/>
      <c r="S98" s="285"/>
      <c r="T98" s="593"/>
      <c r="U98" s="607"/>
      <c r="V98" s="463"/>
      <c r="W98" s="316"/>
      <c r="X98" s="316"/>
      <c r="Y98" s="108"/>
      <c r="Z98" s="108"/>
      <c r="AA98" s="108"/>
      <c r="AB98" s="108"/>
      <c r="AC98" s="108"/>
      <c r="AD98" s="132">
        <f t="shared" si="2"/>
        <v>7687.617598346719</v>
      </c>
      <c r="AE98" s="12"/>
      <c r="AF98" s="12"/>
      <c r="AG98" s="12"/>
      <c r="AH98" s="12"/>
    </row>
    <row r="99" spans="2:34" ht="15.75">
      <c r="B99" s="147">
        <v>567</v>
      </c>
      <c r="C99" s="147">
        <v>2002</v>
      </c>
      <c r="D99" s="148" t="s">
        <v>68</v>
      </c>
      <c r="E99" s="147">
        <v>102</v>
      </c>
      <c r="F99" s="149">
        <v>15359</v>
      </c>
      <c r="G99" s="147">
        <v>1</v>
      </c>
      <c r="H99" s="150">
        <v>0</v>
      </c>
      <c r="I99" s="130">
        <v>0</v>
      </c>
      <c r="J99" s="151">
        <v>0</v>
      </c>
      <c r="K99" s="151">
        <v>0</v>
      </c>
      <c r="L99" s="131"/>
      <c r="M99" s="341">
        <f>'Per-Ft'!$J$10+('Rent-List-adu'!F99-15000)*'Per-Ft'!$H$11</f>
        <v>7182.549856746258</v>
      </c>
      <c r="N99" s="326">
        <f t="shared" si="3"/>
        <v>7182.549856746258</v>
      </c>
      <c r="P99" s="292"/>
      <c r="Q99" s="105"/>
      <c r="R99" s="107"/>
      <c r="S99" s="285"/>
      <c r="T99" s="593"/>
      <c r="U99" s="607"/>
      <c r="V99" s="463"/>
      <c r="W99" s="316"/>
      <c r="X99" s="316"/>
      <c r="Y99" s="108"/>
      <c r="Z99" s="108"/>
      <c r="AA99" s="108"/>
      <c r="AB99" s="108"/>
      <c r="AC99" s="108"/>
      <c r="AD99" s="132">
        <f t="shared" si="2"/>
        <v>7182.549856746258</v>
      </c>
      <c r="AE99" s="12"/>
      <c r="AF99" s="12"/>
      <c r="AG99" s="12"/>
      <c r="AH99" s="12"/>
    </row>
    <row r="100" spans="2:34" ht="15.75">
      <c r="B100" s="147">
        <v>585</v>
      </c>
      <c r="C100" s="147" t="s">
        <v>59</v>
      </c>
      <c r="D100" s="148" t="s">
        <v>153</v>
      </c>
      <c r="E100" s="147" t="s">
        <v>391</v>
      </c>
      <c r="F100" s="149">
        <v>15395</v>
      </c>
      <c r="G100" s="147">
        <v>1</v>
      </c>
      <c r="H100" s="150">
        <v>0</v>
      </c>
      <c r="I100" s="151">
        <v>0</v>
      </c>
      <c r="J100" s="151">
        <v>0</v>
      </c>
      <c r="K100" s="151">
        <v>0</v>
      </c>
      <c r="L100" s="131"/>
      <c r="M100" s="341">
        <f>'Per-Ft'!$J$10+('Rent-List-adu'!F100-15000)*'Per-Ft'!$H$11</f>
        <v>7185.2944033133135</v>
      </c>
      <c r="N100" s="326">
        <f t="shared" si="3"/>
        <v>7185.2944033133135</v>
      </c>
      <c r="P100" s="292"/>
      <c r="Q100" s="105"/>
      <c r="R100" s="107"/>
      <c r="S100" s="285"/>
      <c r="T100" s="593"/>
      <c r="U100" s="607"/>
      <c r="V100" s="463"/>
      <c r="W100" s="316"/>
      <c r="X100" s="316"/>
      <c r="Y100" s="108"/>
      <c r="Z100" s="108"/>
      <c r="AA100" s="108"/>
      <c r="AB100" s="108"/>
      <c r="AC100" s="108"/>
      <c r="AD100" s="132">
        <f t="shared" si="2"/>
        <v>7185.2944033133135</v>
      </c>
      <c r="AE100" s="12"/>
      <c r="AF100" s="12"/>
      <c r="AG100" s="12"/>
      <c r="AH100" s="12"/>
    </row>
    <row r="101" spans="2:34" ht="15.75">
      <c r="B101" s="147">
        <v>508</v>
      </c>
      <c r="C101" s="147">
        <v>2112</v>
      </c>
      <c r="D101" s="148" t="s">
        <v>64</v>
      </c>
      <c r="E101" s="147">
        <v>94</v>
      </c>
      <c r="F101" s="149">
        <v>15900</v>
      </c>
      <c r="G101" s="147">
        <v>1</v>
      </c>
      <c r="H101" s="150">
        <v>0</v>
      </c>
      <c r="I101" s="151">
        <v>0</v>
      </c>
      <c r="J101" s="130">
        <f>'Per-Ft'!$L$13</f>
        <v>254.1729750000004</v>
      </c>
      <c r="K101" s="151">
        <v>0</v>
      </c>
      <c r="L101" s="131"/>
      <c r="M101" s="341">
        <f>'Per-Ft'!$J$10+('Rent-List-adu'!F101-15000)*'Per-Ft'!$H$11</f>
        <v>7223.7942926567275</v>
      </c>
      <c r="N101" s="326">
        <f t="shared" si="3"/>
        <v>6969.621317656727</v>
      </c>
      <c r="P101" s="292"/>
      <c r="Q101" s="105"/>
      <c r="R101" s="107"/>
      <c r="S101" s="285"/>
      <c r="T101" s="593"/>
      <c r="U101" s="607"/>
      <c r="V101" s="463"/>
      <c r="W101" s="316"/>
      <c r="X101" s="316"/>
      <c r="Y101" s="108"/>
      <c r="Z101" s="108"/>
      <c r="AA101" s="108"/>
      <c r="AB101" s="108"/>
      <c r="AC101" s="108"/>
      <c r="AD101" s="132">
        <f t="shared" si="2"/>
        <v>6969.621317656727</v>
      </c>
      <c r="AE101" s="12"/>
      <c r="AF101" s="12"/>
      <c r="AG101" s="12"/>
      <c r="AH101" s="12"/>
    </row>
    <row r="102" spans="2:34" ht="15.75">
      <c r="B102" s="147">
        <v>501</v>
      </c>
      <c r="C102" s="147">
        <v>2107</v>
      </c>
      <c r="D102" s="148" t="s">
        <v>55</v>
      </c>
      <c r="E102" s="147">
        <v>86.5</v>
      </c>
      <c r="F102" s="149">
        <v>16000</v>
      </c>
      <c r="G102" s="147">
        <v>1</v>
      </c>
      <c r="H102" s="150">
        <v>0</v>
      </c>
      <c r="I102" s="151">
        <v>0</v>
      </c>
      <c r="J102" s="130">
        <v>0</v>
      </c>
      <c r="K102" s="130">
        <f>'Per-Ft'!$L$9</f>
        <v>508.34595000000263</v>
      </c>
      <c r="L102" s="131"/>
      <c r="M102" s="341">
        <f>'Per-Ft'!$J$11+('Rent-List-adu'!F102-16000)*'Per-Ft'!$H$12</f>
        <v>7231.41803312077</v>
      </c>
      <c r="N102" s="326">
        <f t="shared" si="3"/>
        <v>6723.072083120767</v>
      </c>
      <c r="P102" s="292"/>
      <c r="Q102" s="105"/>
      <c r="R102" s="107"/>
      <c r="S102" s="285"/>
      <c r="T102" s="593"/>
      <c r="U102" s="607"/>
      <c r="V102" s="463"/>
      <c r="W102" s="316"/>
      <c r="X102" s="316"/>
      <c r="Y102" s="108"/>
      <c r="Z102" s="108"/>
      <c r="AA102" s="108"/>
      <c r="AB102" s="108"/>
      <c r="AC102" s="108"/>
      <c r="AD102" s="132">
        <f t="shared" si="2"/>
        <v>6723.072083120767</v>
      </c>
      <c r="AE102" s="12"/>
      <c r="AF102" s="12"/>
      <c r="AG102" s="12"/>
      <c r="AH102" s="12"/>
    </row>
    <row r="103" spans="2:34" ht="15.75">
      <c r="B103" s="147">
        <v>683</v>
      </c>
      <c r="C103" s="147">
        <v>2313</v>
      </c>
      <c r="D103" s="148" t="s">
        <v>279</v>
      </c>
      <c r="E103" s="147" t="s">
        <v>297</v>
      </c>
      <c r="F103" s="149">
        <v>16157</v>
      </c>
      <c r="G103" s="147">
        <v>1</v>
      </c>
      <c r="H103" s="150">
        <f>'Per-Ft'!$L$19</f>
        <v>508.3459499999999</v>
      </c>
      <c r="I103" s="151">
        <v>0</v>
      </c>
      <c r="J103" s="151">
        <v>0</v>
      </c>
      <c r="K103" s="151">
        <v>0</v>
      </c>
      <c r="L103" s="131"/>
      <c r="M103" s="341">
        <f>'Per-Ft'!$J$11+('Rent-List-adu'!F103-16000)*'Per-Ft'!$H$12</f>
        <v>7242.982547641105</v>
      </c>
      <c r="N103" s="326">
        <f t="shared" si="3"/>
        <v>7751.328497641105</v>
      </c>
      <c r="P103" s="292"/>
      <c r="Q103" s="105"/>
      <c r="R103" s="107"/>
      <c r="S103" s="285"/>
      <c r="T103" s="593"/>
      <c r="U103" s="607"/>
      <c r="V103" s="463"/>
      <c r="W103" s="316"/>
      <c r="X103" s="316"/>
      <c r="Y103" s="108"/>
      <c r="Z103" s="108"/>
      <c r="AA103" s="108"/>
      <c r="AB103" s="108"/>
      <c r="AC103" s="108"/>
      <c r="AD103" s="132">
        <f t="shared" si="2"/>
        <v>7751.328497641105</v>
      </c>
      <c r="AE103" s="12"/>
      <c r="AF103" s="12"/>
      <c r="AG103" s="12"/>
      <c r="AH103" s="12"/>
    </row>
    <row r="104" spans="2:34" ht="15.75">
      <c r="B104" s="147">
        <v>625</v>
      </c>
      <c r="C104" s="147">
        <v>2212</v>
      </c>
      <c r="D104" s="148" t="s">
        <v>153</v>
      </c>
      <c r="E104" s="147">
        <v>36</v>
      </c>
      <c r="F104" s="149">
        <v>16346</v>
      </c>
      <c r="G104" s="147">
        <v>1</v>
      </c>
      <c r="H104" s="150">
        <v>0</v>
      </c>
      <c r="I104" s="151">
        <v>0</v>
      </c>
      <c r="J104" s="151">
        <v>0</v>
      </c>
      <c r="K104" s="151">
        <v>0</v>
      </c>
      <c r="L104" s="131"/>
      <c r="M104" s="341">
        <f>'Per-Ft'!$J$11+('Rent-List-adu'!F104-16000)*'Per-Ft'!$H$12</f>
        <v>7256.9041606624</v>
      </c>
      <c r="N104" s="326">
        <f t="shared" si="3"/>
        <v>7256.9041606624</v>
      </c>
      <c r="P104" s="292"/>
      <c r="Q104" s="105"/>
      <c r="R104" s="107"/>
      <c r="S104" s="285"/>
      <c r="T104" s="593"/>
      <c r="U104" s="607"/>
      <c r="V104" s="463"/>
      <c r="W104" s="316"/>
      <c r="X104" s="316"/>
      <c r="Y104" s="108"/>
      <c r="Z104" s="108"/>
      <c r="AA104" s="108"/>
      <c r="AB104" s="108"/>
      <c r="AC104" s="108"/>
      <c r="AD104" s="132">
        <f t="shared" si="2"/>
        <v>7256.9041606624</v>
      </c>
      <c r="AE104" s="12"/>
      <c r="AF104" s="12"/>
      <c r="AG104" s="12"/>
      <c r="AH104" s="12"/>
    </row>
    <row r="105" spans="2:34" ht="15.75">
      <c r="B105" s="147">
        <v>507</v>
      </c>
      <c r="C105" s="147">
        <v>2114</v>
      </c>
      <c r="D105" s="148" t="s">
        <v>294</v>
      </c>
      <c r="E105" s="147">
        <v>89</v>
      </c>
      <c r="F105" s="149">
        <v>16380</v>
      </c>
      <c r="G105" s="147">
        <v>1</v>
      </c>
      <c r="H105" s="150">
        <v>0</v>
      </c>
      <c r="I105" s="151">
        <v>0</v>
      </c>
      <c r="J105" s="151">
        <v>0</v>
      </c>
      <c r="K105" s="151">
        <v>0</v>
      </c>
      <c r="L105" s="131"/>
      <c r="M105" s="341">
        <f>'Per-Ft'!$J$11+('Rent-List-adu'!F105-16000)*'Per-Ft'!$H$12</f>
        <v>7259.40857781967</v>
      </c>
      <c r="N105" s="326">
        <f t="shared" si="3"/>
        <v>7259.40857781967</v>
      </c>
      <c r="P105" s="292"/>
      <c r="Q105" s="105"/>
      <c r="R105" s="107"/>
      <c r="S105" s="285"/>
      <c r="T105" s="593"/>
      <c r="U105" s="607"/>
      <c r="V105" s="463"/>
      <c r="W105" s="316"/>
      <c r="X105" s="316"/>
      <c r="Y105" s="108"/>
      <c r="Z105" s="108"/>
      <c r="AA105" s="108"/>
      <c r="AB105" s="108"/>
      <c r="AC105" s="108"/>
      <c r="AD105" s="132">
        <f t="shared" si="2"/>
        <v>7259.40857781967</v>
      </c>
      <c r="AE105" s="12"/>
      <c r="AF105" s="12"/>
      <c r="AG105" s="12"/>
      <c r="AH105" s="12"/>
    </row>
    <row r="106" spans="2:34" ht="15.75">
      <c r="B106" s="147">
        <v>502</v>
      </c>
      <c r="C106" s="147">
        <v>2101</v>
      </c>
      <c r="D106" s="148" t="s">
        <v>55</v>
      </c>
      <c r="E106" s="147" t="s">
        <v>393</v>
      </c>
      <c r="F106" s="149">
        <v>16402</v>
      </c>
      <c r="G106" s="147">
        <v>1</v>
      </c>
      <c r="H106" s="150">
        <v>0</v>
      </c>
      <c r="I106" s="151">
        <v>0</v>
      </c>
      <c r="J106" s="130">
        <f>'Per-Ft'!$L$13</f>
        <v>254.1729750000004</v>
      </c>
      <c r="K106" s="151">
        <v>0</v>
      </c>
      <c r="L106" s="131"/>
      <c r="M106" s="341">
        <f>'Per-Ft'!$J$11+('Rent-List-adu'!F106-16000)*'Per-Ft'!$H$12</f>
        <v>7261.02908303908</v>
      </c>
      <c r="N106" s="326">
        <f t="shared" si="3"/>
        <v>7006.85610803908</v>
      </c>
      <c r="P106" s="292"/>
      <c r="Q106" s="105"/>
      <c r="R106" s="107"/>
      <c r="S106" s="285"/>
      <c r="T106" s="593"/>
      <c r="U106" s="607"/>
      <c r="V106" s="463"/>
      <c r="W106" s="316"/>
      <c r="X106" s="316"/>
      <c r="Y106" s="108"/>
      <c r="Z106" s="108"/>
      <c r="AA106" s="108"/>
      <c r="AB106" s="108"/>
      <c r="AC106" s="108"/>
      <c r="AD106" s="132">
        <f t="shared" si="2"/>
        <v>7006.85610803908</v>
      </c>
      <c r="AE106" s="12"/>
      <c r="AF106" s="12"/>
      <c r="AG106" s="12"/>
      <c r="AH106" s="12"/>
    </row>
    <row r="107" spans="2:34" ht="15.75">
      <c r="B107" s="147">
        <v>530</v>
      </c>
      <c r="C107" s="147">
        <v>1904</v>
      </c>
      <c r="D107" s="148" t="s">
        <v>294</v>
      </c>
      <c r="E107" s="147">
        <v>112</v>
      </c>
      <c r="F107" s="149">
        <v>16519</v>
      </c>
      <c r="G107" s="147">
        <v>1</v>
      </c>
      <c r="H107" s="150">
        <f>'Per-Ft'!$L$19</f>
        <v>508.3459499999999</v>
      </c>
      <c r="I107" s="130">
        <f>'Per-Ft'!$L$16</f>
        <v>254.17297500000132</v>
      </c>
      <c r="J107" s="151">
        <v>0</v>
      </c>
      <c r="K107" s="151">
        <v>0</v>
      </c>
      <c r="L107" s="131">
        <f>'Per-Ft'!$L$5</f>
        <v>254.1729750000004</v>
      </c>
      <c r="M107" s="341">
        <f>'Per-Ft'!$J$11+('Rent-List-adu'!F107-16000)*'Per-Ft'!$H$12</f>
        <v>7269.647224433215</v>
      </c>
      <c r="N107" s="326">
        <f t="shared" si="3"/>
        <v>7777.993174433216</v>
      </c>
      <c r="P107" s="292"/>
      <c r="Q107" s="105"/>
      <c r="R107" s="107"/>
      <c r="S107" s="285"/>
      <c r="T107" s="593"/>
      <c r="U107" s="607"/>
      <c r="V107" s="463"/>
      <c r="W107" s="316"/>
      <c r="X107" s="316"/>
      <c r="Y107" s="108"/>
      <c r="Z107" s="108"/>
      <c r="AA107" s="108"/>
      <c r="AB107" s="108"/>
      <c r="AC107" s="108"/>
      <c r="AD107" s="132">
        <f t="shared" si="2"/>
        <v>7777.993174433216</v>
      </c>
      <c r="AE107" s="12"/>
      <c r="AF107" s="12"/>
      <c r="AG107" s="12"/>
      <c r="AH107" s="12"/>
    </row>
    <row r="108" spans="2:34" ht="15.75">
      <c r="B108" s="147">
        <v>541</v>
      </c>
      <c r="C108" s="147">
        <v>2115</v>
      </c>
      <c r="D108" s="148" t="s">
        <v>343</v>
      </c>
      <c r="E108" s="147">
        <v>137</v>
      </c>
      <c r="F108" s="149">
        <v>16675</v>
      </c>
      <c r="G108" s="147">
        <v>1</v>
      </c>
      <c r="H108" s="150">
        <f>'Per-Ft'!$L$19/2</f>
        <v>254.17297499999995</v>
      </c>
      <c r="I108" s="151">
        <v>0</v>
      </c>
      <c r="J108" s="151">
        <v>0</v>
      </c>
      <c r="K108" s="151">
        <v>0</v>
      </c>
      <c r="L108" s="131"/>
      <c r="M108" s="341">
        <f>'Per-Ft'!$J$11+('Rent-List-adu'!F108-16000)*'Per-Ft'!$H$12</f>
        <v>7281.138079625395</v>
      </c>
      <c r="N108" s="326">
        <f t="shared" si="3"/>
        <v>7535.311054625396</v>
      </c>
      <c r="P108" s="292"/>
      <c r="Q108" s="105"/>
      <c r="R108" s="107"/>
      <c r="S108" s="285"/>
      <c r="T108" s="593"/>
      <c r="U108" s="607"/>
      <c r="V108" s="463"/>
      <c r="W108" s="316"/>
      <c r="X108" s="316"/>
      <c r="Y108" s="108"/>
      <c r="Z108" s="108"/>
      <c r="AA108" s="108"/>
      <c r="AB108" s="108"/>
      <c r="AC108" s="108"/>
      <c r="AD108" s="132">
        <f t="shared" si="2"/>
        <v>7535.311054625396</v>
      </c>
      <c r="AE108" s="12"/>
      <c r="AF108" s="12"/>
      <c r="AG108" s="12"/>
      <c r="AH108" s="12"/>
    </row>
    <row r="109" spans="2:34" ht="15.75">
      <c r="B109" s="147">
        <v>633</v>
      </c>
      <c r="C109" s="147">
        <v>1807</v>
      </c>
      <c r="D109" s="148" t="s">
        <v>64</v>
      </c>
      <c r="E109" s="147">
        <v>44.5</v>
      </c>
      <c r="F109" s="149">
        <v>16699</v>
      </c>
      <c r="G109" s="147">
        <v>1</v>
      </c>
      <c r="H109" s="150">
        <v>0</v>
      </c>
      <c r="I109" s="151">
        <v>0</v>
      </c>
      <c r="J109" s="130">
        <v>0</v>
      </c>
      <c r="K109" s="130">
        <f>'Per-Ft'!$L$9</f>
        <v>508.34595000000263</v>
      </c>
      <c r="L109" s="131"/>
      <c r="M109" s="341">
        <f>'Per-Ft'!$J$11+('Rent-List-adu'!F109-16000)*'Per-Ft'!$H$12</f>
        <v>7282.905903501115</v>
      </c>
      <c r="N109" s="326">
        <f t="shared" si="3"/>
        <v>6774.559953501112</v>
      </c>
      <c r="P109" s="292"/>
      <c r="Q109" s="105"/>
      <c r="R109" s="107"/>
      <c r="S109" s="285"/>
      <c r="T109" s="593"/>
      <c r="U109" s="607"/>
      <c r="V109" s="463"/>
      <c r="W109" s="316"/>
      <c r="X109" s="316"/>
      <c r="Y109" s="108"/>
      <c r="Z109" s="108"/>
      <c r="AA109" s="108"/>
      <c r="AB109" s="108"/>
      <c r="AC109" s="108"/>
      <c r="AD109" s="132">
        <f t="shared" si="2"/>
        <v>6774.559953501112</v>
      </c>
      <c r="AE109" s="12"/>
      <c r="AF109" s="12"/>
      <c r="AG109" s="12"/>
      <c r="AH109" s="12"/>
    </row>
    <row r="110" spans="2:34" ht="15.75">
      <c r="B110" s="147">
        <v>589</v>
      </c>
      <c r="C110" s="147">
        <v>2204</v>
      </c>
      <c r="D110" s="148" t="s">
        <v>398</v>
      </c>
      <c r="E110" s="147">
        <v>28</v>
      </c>
      <c r="F110" s="149">
        <v>16955</v>
      </c>
      <c r="G110" s="147">
        <v>1</v>
      </c>
      <c r="H110" s="150">
        <v>0</v>
      </c>
      <c r="I110" s="151">
        <v>0</v>
      </c>
      <c r="J110" s="151">
        <v>0</v>
      </c>
      <c r="K110" s="151">
        <v>0</v>
      </c>
      <c r="L110" s="131"/>
      <c r="M110" s="341">
        <f>'Per-Ft'!$J$11+('Rent-List-adu'!F110-16000)*'Per-Ft'!$H$12</f>
        <v>7301.762691508795</v>
      </c>
      <c r="N110" s="326">
        <f t="shared" si="3"/>
        <v>7301.762691508795</v>
      </c>
      <c r="P110" s="292"/>
      <c r="Q110" s="105"/>
      <c r="R110" s="107"/>
      <c r="S110" s="285"/>
      <c r="T110" s="593"/>
      <c r="U110" s="607"/>
      <c r="V110" s="463"/>
      <c r="W110" s="316"/>
      <c r="X110" s="316"/>
      <c r="Y110" s="108"/>
      <c r="Z110" s="108"/>
      <c r="AA110" s="108"/>
      <c r="AB110" s="108"/>
      <c r="AC110" s="108"/>
      <c r="AD110" s="132">
        <f t="shared" si="2"/>
        <v>7301.762691508795</v>
      </c>
      <c r="AE110" s="12"/>
      <c r="AF110" s="12"/>
      <c r="AG110" s="12"/>
      <c r="AH110" s="12"/>
    </row>
    <row r="111" spans="1:34" ht="15.75">
      <c r="A111" s="135" t="s">
        <v>182</v>
      </c>
      <c r="B111" s="136">
        <v>546</v>
      </c>
      <c r="C111" s="136">
        <v>1800</v>
      </c>
      <c r="D111" s="137" t="s">
        <v>64</v>
      </c>
      <c r="E111" s="136">
        <v>140</v>
      </c>
      <c r="F111" s="138">
        <v>16975</v>
      </c>
      <c r="G111" s="136">
        <v>2</v>
      </c>
      <c r="H111" s="139">
        <v>0</v>
      </c>
      <c r="I111" s="152">
        <f>'Per-Ft'!$L$16</f>
        <v>254.17297500000132</v>
      </c>
      <c r="J111" s="152">
        <f>'Per-Ft'!$L$13</f>
        <v>254.1729750000004</v>
      </c>
      <c r="K111" s="140">
        <v>0</v>
      </c>
      <c r="L111" s="141"/>
      <c r="M111" s="537">
        <f>'Per-Ft'!$J$11+('Rent-List-adu'!F111-16000)*'Per-Ft'!$H$12</f>
        <v>7303.235878071895</v>
      </c>
      <c r="N111" s="326">
        <f t="shared" si="3"/>
        <v>7303.235878071896</v>
      </c>
      <c r="O111" s="142">
        <v>140</v>
      </c>
      <c r="P111" s="294">
        <v>2996</v>
      </c>
      <c r="Q111" s="143" t="s">
        <v>11</v>
      </c>
      <c r="R111" s="144">
        <v>300</v>
      </c>
      <c r="S111" s="154" t="s">
        <v>131</v>
      </c>
      <c r="T111" s="145">
        <v>500</v>
      </c>
      <c r="U111" s="155">
        <f>V111-Y111+Z111-AA111-AB111-AC111</f>
        <v>3612.771499999999</v>
      </c>
      <c r="V111" s="395">
        <f>T111*$V$4</f>
        <v>5833</v>
      </c>
      <c r="W111" s="317">
        <v>45959</v>
      </c>
      <c r="X111" s="317"/>
      <c r="Y111" s="146">
        <f>W111*$Y$4</f>
        <v>1378.77</v>
      </c>
      <c r="Z111" s="146">
        <f>W111*$Z$4</f>
        <v>781.3030000000001</v>
      </c>
      <c r="AA111" s="146">
        <f>W111*$AA$4</f>
        <v>735.344</v>
      </c>
      <c r="AB111" s="317">
        <f>W111*$AB$4</f>
        <v>137.877</v>
      </c>
      <c r="AC111" s="395">
        <f>V111*$AC$4</f>
        <v>749.5405000000001</v>
      </c>
      <c r="AD111" s="156">
        <f t="shared" si="2"/>
        <v>10916.007378071896</v>
      </c>
      <c r="AE111" s="12"/>
      <c r="AF111" s="12"/>
      <c r="AG111" s="12"/>
      <c r="AH111" s="12"/>
    </row>
    <row r="112" spans="2:34" ht="15.75">
      <c r="B112" s="147">
        <v>657</v>
      </c>
      <c r="C112" s="147">
        <v>2312</v>
      </c>
      <c r="D112" s="148" t="s">
        <v>134</v>
      </c>
      <c r="E112" s="147">
        <v>65</v>
      </c>
      <c r="F112" s="149">
        <v>17362</v>
      </c>
      <c r="G112" s="147">
        <v>1</v>
      </c>
      <c r="H112" s="150">
        <v>0</v>
      </c>
      <c r="I112" s="151">
        <v>0</v>
      </c>
      <c r="J112" s="151">
        <v>0</v>
      </c>
      <c r="K112" s="151">
        <v>0</v>
      </c>
      <c r="L112" s="131"/>
      <c r="M112" s="341">
        <f>'Per-Ft'!$J$12+('Rent-List-adu'!F112-17000)*'Per-Ft'!$H$13</f>
        <v>7330.84033402177</v>
      </c>
      <c r="N112" s="326">
        <f t="shared" si="3"/>
        <v>7330.84033402177</v>
      </c>
      <c r="P112" s="292"/>
      <c r="Q112" s="105"/>
      <c r="R112" s="107"/>
      <c r="S112" s="285"/>
      <c r="T112" s="593"/>
      <c r="U112" s="607"/>
      <c r="V112" s="463"/>
      <c r="W112" s="316"/>
      <c r="X112" s="316"/>
      <c r="Y112" s="108"/>
      <c r="Z112" s="108"/>
      <c r="AA112" s="108"/>
      <c r="AB112" s="108"/>
      <c r="AC112" s="108"/>
      <c r="AD112" s="132">
        <f t="shared" si="2"/>
        <v>7330.84033402177</v>
      </c>
      <c r="AE112" s="12"/>
      <c r="AF112" s="12"/>
      <c r="AG112" s="12"/>
      <c r="AH112" s="12"/>
    </row>
    <row r="113" spans="1:34" ht="15.75">
      <c r="A113" s="12"/>
      <c r="B113" s="164">
        <v>520</v>
      </c>
      <c r="C113" s="164">
        <v>2104</v>
      </c>
      <c r="D113" s="175" t="s">
        <v>294</v>
      </c>
      <c r="E113" s="164">
        <v>93.5</v>
      </c>
      <c r="F113" s="163">
        <v>17400</v>
      </c>
      <c r="G113" s="164">
        <v>1</v>
      </c>
      <c r="H113" s="189">
        <v>0</v>
      </c>
      <c r="I113" s="176">
        <v>0</v>
      </c>
      <c r="J113" s="176">
        <v>0</v>
      </c>
      <c r="K113" s="176">
        <v>0</v>
      </c>
      <c r="L113" s="177"/>
      <c r="M113" s="341">
        <f>'Per-Ft'!$J$12+('Rent-List-adu'!F113-17000)*'Per-Ft'!$H$13</f>
        <v>7333.54473447577</v>
      </c>
      <c r="N113" s="326">
        <f t="shared" si="3"/>
        <v>7333.54473447577</v>
      </c>
      <c r="O113" s="201"/>
      <c r="P113" s="296"/>
      <c r="Q113" s="202"/>
      <c r="R113" s="4"/>
      <c r="S113" s="117"/>
      <c r="T113" s="593"/>
      <c r="U113" s="607"/>
      <c r="V113" s="398"/>
      <c r="W113" s="319"/>
      <c r="X113" s="319"/>
      <c r="Y113" s="203"/>
      <c r="Z113" s="203"/>
      <c r="AA113" s="203"/>
      <c r="AB113" s="203"/>
      <c r="AC113" s="203"/>
      <c r="AD113" s="205">
        <f t="shared" si="2"/>
        <v>7333.54473447577</v>
      </c>
      <c r="AE113" s="12"/>
      <c r="AF113" s="12"/>
      <c r="AG113" s="12"/>
      <c r="AH113" s="12"/>
    </row>
    <row r="114" spans="2:34" ht="15.75">
      <c r="B114" s="147">
        <v>665</v>
      </c>
      <c r="C114" s="147">
        <v>1704</v>
      </c>
      <c r="D114" s="148" t="s">
        <v>342</v>
      </c>
      <c r="E114" s="147">
        <v>73</v>
      </c>
      <c r="F114" s="149">
        <v>17500</v>
      </c>
      <c r="G114" s="147">
        <v>1</v>
      </c>
      <c r="H114" s="150">
        <v>0</v>
      </c>
      <c r="I114" s="151">
        <v>0</v>
      </c>
      <c r="J114" s="151">
        <v>0</v>
      </c>
      <c r="K114" s="151">
        <v>0</v>
      </c>
      <c r="L114" s="131"/>
      <c r="M114" s="341">
        <f>'Per-Ft'!$J$12+('Rent-List-adu'!F114-17000)*'Per-Ft'!$H$13</f>
        <v>7340.661577775771</v>
      </c>
      <c r="N114" s="326">
        <f t="shared" si="3"/>
        <v>7340.661577775771</v>
      </c>
      <c r="P114" s="292"/>
      <c r="Q114" s="105"/>
      <c r="R114" s="107"/>
      <c r="S114" s="285"/>
      <c r="T114" s="593"/>
      <c r="U114" s="607"/>
      <c r="V114" s="463"/>
      <c r="W114" s="316"/>
      <c r="X114" s="316"/>
      <c r="Y114" s="108"/>
      <c r="Z114" s="108"/>
      <c r="AA114" s="108"/>
      <c r="AB114" s="108"/>
      <c r="AC114" s="108"/>
      <c r="AD114" s="132">
        <f t="shared" si="2"/>
        <v>7340.661577775771</v>
      </c>
      <c r="AE114" s="12"/>
      <c r="AF114" s="12"/>
      <c r="AG114" s="12"/>
      <c r="AH114" s="12"/>
    </row>
    <row r="115" spans="2:34" ht="15.75">
      <c r="B115" s="147">
        <v>676</v>
      </c>
      <c r="C115" s="147">
        <v>1807</v>
      </c>
      <c r="D115" s="148" t="s">
        <v>342</v>
      </c>
      <c r="E115" s="147">
        <v>77</v>
      </c>
      <c r="F115" s="149">
        <v>17500</v>
      </c>
      <c r="G115" s="147">
        <v>2</v>
      </c>
      <c r="H115" s="150">
        <f>'Per-Ft'!$L$19</f>
        <v>508.3459499999999</v>
      </c>
      <c r="I115" s="130">
        <f>'Per-Ft'!$L$16</f>
        <v>254.17297500000132</v>
      </c>
      <c r="J115" s="151">
        <v>0</v>
      </c>
      <c r="K115" s="151">
        <v>0</v>
      </c>
      <c r="L115" s="131"/>
      <c r="M115" s="341">
        <f>'Per-Ft'!$J$12+('Rent-List-adu'!F115-17000)*'Per-Ft'!$H$13</f>
        <v>7340.661577775771</v>
      </c>
      <c r="N115" s="326">
        <f t="shared" si="3"/>
        <v>8103.180502775772</v>
      </c>
      <c r="P115" s="292"/>
      <c r="Q115" s="105"/>
      <c r="R115" s="107"/>
      <c r="S115" s="285"/>
      <c r="T115" s="593"/>
      <c r="U115" s="607"/>
      <c r="V115" s="463"/>
      <c r="W115" s="316"/>
      <c r="X115" s="316"/>
      <c r="Y115" s="108"/>
      <c r="Z115" s="108"/>
      <c r="AA115" s="108"/>
      <c r="AB115" s="108"/>
      <c r="AC115" s="108"/>
      <c r="AD115" s="132">
        <f t="shared" si="2"/>
        <v>8103.180502775772</v>
      </c>
      <c r="AE115" s="12"/>
      <c r="AF115" s="12"/>
      <c r="AG115" s="12"/>
      <c r="AH115" s="12"/>
    </row>
    <row r="116" spans="2:34" ht="15.75">
      <c r="B116" s="147">
        <v>599</v>
      </c>
      <c r="C116" s="147">
        <v>2110</v>
      </c>
      <c r="D116" s="148" t="s">
        <v>293</v>
      </c>
      <c r="E116" s="147">
        <v>2</v>
      </c>
      <c r="F116" s="187">
        <v>17698.34</v>
      </c>
      <c r="G116" s="147">
        <v>1</v>
      </c>
      <c r="H116" s="150">
        <v>0</v>
      </c>
      <c r="I116" s="151">
        <v>0</v>
      </c>
      <c r="J116" s="130">
        <f>'Per-Ft'!$L$13</f>
        <v>254.1729750000004</v>
      </c>
      <c r="K116" s="151">
        <v>0</v>
      </c>
      <c r="L116" s="131"/>
      <c r="M116" s="341">
        <f>'Per-Ft'!$J$12+('Rent-List-adu'!F116-17000)*'Per-Ft'!$H$13</f>
        <v>7354.777124776991</v>
      </c>
      <c r="N116" s="326">
        <f t="shared" si="3"/>
        <v>7100.60414977699</v>
      </c>
      <c r="P116" s="292"/>
      <c r="Q116" s="105"/>
      <c r="R116" s="107"/>
      <c r="S116" s="285"/>
      <c r="T116" s="593"/>
      <c r="U116" s="607"/>
      <c r="V116" s="463"/>
      <c r="W116" s="316"/>
      <c r="X116" s="316"/>
      <c r="Y116" s="108"/>
      <c r="Z116" s="108"/>
      <c r="AA116" s="108"/>
      <c r="AB116" s="108"/>
      <c r="AC116" s="108"/>
      <c r="AD116" s="132">
        <f t="shared" si="2"/>
        <v>7100.60414977699</v>
      </c>
      <c r="AE116" s="12"/>
      <c r="AF116" s="12"/>
      <c r="AG116" s="12"/>
      <c r="AH116" s="12"/>
    </row>
    <row r="117" spans="2:34" ht="15.75">
      <c r="B117" s="147">
        <v>594</v>
      </c>
      <c r="C117" s="147">
        <v>2105</v>
      </c>
      <c r="D117" s="148" t="s">
        <v>64</v>
      </c>
      <c r="E117" s="147">
        <v>6.25</v>
      </c>
      <c r="F117" s="149">
        <v>17908</v>
      </c>
      <c r="G117" s="147">
        <v>1</v>
      </c>
      <c r="H117" s="150">
        <v>0</v>
      </c>
      <c r="I117" s="151">
        <v>0</v>
      </c>
      <c r="J117" s="130">
        <v>0</v>
      </c>
      <c r="K117" s="130">
        <f>'Per-Ft'!$L$9</f>
        <v>508.34595000000263</v>
      </c>
      <c r="L117" s="131"/>
      <c r="M117" s="341">
        <f>'Per-Ft'!$J$12+('Rent-List-adu'!F117-17000)*'Per-Ft'!$H$13</f>
        <v>7369.69829843977</v>
      </c>
      <c r="N117" s="326">
        <f t="shared" si="3"/>
        <v>6861.352348439767</v>
      </c>
      <c r="P117" s="292"/>
      <c r="Q117" s="105"/>
      <c r="R117" s="107"/>
      <c r="S117" s="285"/>
      <c r="T117" s="593"/>
      <c r="U117" s="607"/>
      <c r="V117" s="463"/>
      <c r="W117" s="316"/>
      <c r="X117" s="316"/>
      <c r="Y117" s="108"/>
      <c r="Z117" s="108"/>
      <c r="AA117" s="108"/>
      <c r="AB117" s="108"/>
      <c r="AC117" s="108"/>
      <c r="AD117" s="132">
        <f t="shared" si="2"/>
        <v>6861.352348439767</v>
      </c>
      <c r="AE117" s="12"/>
      <c r="AF117" s="12"/>
      <c r="AG117" s="12"/>
      <c r="AH117" s="12"/>
    </row>
    <row r="118" spans="2:34" ht="15.75">
      <c r="B118" s="147">
        <v>696</v>
      </c>
      <c r="C118" s="147">
        <v>2101</v>
      </c>
      <c r="D118" s="148" t="s">
        <v>293</v>
      </c>
      <c r="E118" s="147" t="s">
        <v>114</v>
      </c>
      <c r="F118" s="149">
        <v>18109</v>
      </c>
      <c r="G118" s="147">
        <v>1</v>
      </c>
      <c r="H118" s="150">
        <v>0</v>
      </c>
      <c r="I118" s="151">
        <v>0</v>
      </c>
      <c r="J118" s="151">
        <v>0</v>
      </c>
      <c r="K118" s="151">
        <v>0</v>
      </c>
      <c r="L118" s="131"/>
      <c r="M118" s="341">
        <f>'Per-Ft'!$J$13+('Rent-List-adu'!F118-18000)*'Per-Ft'!$H$14</f>
        <v>7383.731645900875</v>
      </c>
      <c r="N118" s="326">
        <f t="shared" si="3"/>
        <v>7383.731645900875</v>
      </c>
      <c r="P118" s="292"/>
      <c r="Q118" s="105"/>
      <c r="R118" s="107"/>
      <c r="S118" s="285"/>
      <c r="T118" s="593"/>
      <c r="U118" s="607"/>
      <c r="V118" s="463"/>
      <c r="W118" s="316"/>
      <c r="X118" s="316"/>
      <c r="Y118" s="108"/>
      <c r="Z118" s="108"/>
      <c r="AA118" s="108"/>
      <c r="AB118" s="108"/>
      <c r="AC118" s="108"/>
      <c r="AD118" s="132">
        <f t="shared" si="2"/>
        <v>7383.731645900875</v>
      </c>
      <c r="AE118" s="12"/>
      <c r="AF118" s="12"/>
      <c r="AG118" s="12"/>
      <c r="AH118" s="12"/>
    </row>
    <row r="119" spans="2:34" ht="15.75">
      <c r="B119" s="147">
        <v>593</v>
      </c>
      <c r="C119" s="147">
        <v>2102</v>
      </c>
      <c r="D119" s="148" t="s">
        <v>293</v>
      </c>
      <c r="E119" s="147">
        <v>6.5</v>
      </c>
      <c r="F119" s="163">
        <v>18223.6</v>
      </c>
      <c r="G119" s="147">
        <v>1</v>
      </c>
      <c r="H119" s="150">
        <v>0</v>
      </c>
      <c r="I119" s="151">
        <v>0</v>
      </c>
      <c r="J119" s="151">
        <v>0</v>
      </c>
      <c r="K119" s="151">
        <v>0</v>
      </c>
      <c r="L119" s="131"/>
      <c r="M119" s="341">
        <f>'Per-Ft'!$J$13+('Rent-List-adu'!F119-18000)*'Per-Ft'!$H$14</f>
        <v>7391.602091737912</v>
      </c>
      <c r="N119" s="326">
        <f t="shared" si="3"/>
        <v>7391.602091737912</v>
      </c>
      <c r="P119" s="292"/>
      <c r="Q119" s="105"/>
      <c r="R119" s="107"/>
      <c r="S119" s="285"/>
      <c r="T119" s="593"/>
      <c r="U119" s="607"/>
      <c r="V119" s="463"/>
      <c r="W119" s="316"/>
      <c r="X119" s="316"/>
      <c r="Y119" s="108"/>
      <c r="Z119" s="108"/>
      <c r="AA119" s="108"/>
      <c r="AB119" s="108"/>
      <c r="AC119" s="108"/>
      <c r="AD119" s="132">
        <f t="shared" si="2"/>
        <v>7391.602091737912</v>
      </c>
      <c r="AE119" s="12"/>
      <c r="AF119" s="12"/>
      <c r="AG119" s="12"/>
      <c r="AH119" s="12"/>
    </row>
    <row r="120" spans="2:34" ht="15.75">
      <c r="B120" s="147">
        <v>512</v>
      </c>
      <c r="C120" s="147">
        <v>2100</v>
      </c>
      <c r="D120" s="148" t="s">
        <v>64</v>
      </c>
      <c r="E120" s="147">
        <v>98</v>
      </c>
      <c r="F120" s="149">
        <v>18452</v>
      </c>
      <c r="G120" s="147">
        <v>1</v>
      </c>
      <c r="H120" s="150">
        <v>0</v>
      </c>
      <c r="I120" s="151">
        <v>0</v>
      </c>
      <c r="J120" s="130">
        <f>'Per-Ft'!$L$13</f>
        <v>254.1729750000004</v>
      </c>
      <c r="K120" s="151">
        <v>0</v>
      </c>
      <c r="L120" s="131"/>
      <c r="M120" s="341">
        <f>'Per-Ft'!$J$13+('Rent-List-adu'!F120-18000)*'Per-Ft'!$H$14</f>
        <v>7407.28804138171</v>
      </c>
      <c r="N120" s="326">
        <f t="shared" si="3"/>
        <v>7153.11506638171</v>
      </c>
      <c r="P120" s="292"/>
      <c r="Q120" s="105"/>
      <c r="R120" s="107"/>
      <c r="S120" s="285"/>
      <c r="T120" s="593"/>
      <c r="U120" s="607"/>
      <c r="V120" s="463"/>
      <c r="W120" s="316"/>
      <c r="X120" s="316"/>
      <c r="Y120" s="108"/>
      <c r="Z120" s="108"/>
      <c r="AA120" s="108"/>
      <c r="AB120" s="108"/>
      <c r="AC120" s="108"/>
      <c r="AD120" s="132">
        <f t="shared" si="2"/>
        <v>7153.11506638171</v>
      </c>
      <c r="AE120" s="12"/>
      <c r="AF120" s="12"/>
      <c r="AG120" s="12"/>
      <c r="AH120" s="12"/>
    </row>
    <row r="121" spans="2:34" ht="15.75">
      <c r="B121" s="147">
        <v>604</v>
      </c>
      <c r="C121" s="147">
        <v>2225</v>
      </c>
      <c r="D121" s="148" t="s">
        <v>55</v>
      </c>
      <c r="E121" s="147">
        <v>11</v>
      </c>
      <c r="F121" s="149">
        <v>18480</v>
      </c>
      <c r="G121" s="147">
        <v>1</v>
      </c>
      <c r="H121" s="150">
        <v>0</v>
      </c>
      <c r="I121" s="151">
        <v>0</v>
      </c>
      <c r="J121" s="130">
        <f>'Per-Ft'!$L$13</f>
        <v>254.1729750000004</v>
      </c>
      <c r="K121" s="151">
        <v>0</v>
      </c>
      <c r="L121" s="131"/>
      <c r="M121" s="341">
        <f>'Per-Ft'!$J$13+('Rent-List-adu'!F121-18000)*'Per-Ft'!$H$14</f>
        <v>7409.21101244137</v>
      </c>
      <c r="N121" s="326">
        <f t="shared" si="3"/>
        <v>7155.03803744137</v>
      </c>
      <c r="P121" s="292"/>
      <c r="Q121" s="105"/>
      <c r="R121" s="107"/>
      <c r="S121" s="285"/>
      <c r="T121" s="593"/>
      <c r="U121" s="607"/>
      <c r="V121" s="463"/>
      <c r="W121" s="316"/>
      <c r="X121" s="316"/>
      <c r="Y121" s="108"/>
      <c r="Z121" s="108"/>
      <c r="AA121" s="108"/>
      <c r="AB121" s="108"/>
      <c r="AC121" s="108"/>
      <c r="AD121" s="132">
        <f t="shared" si="2"/>
        <v>7155.03803744137</v>
      </c>
      <c r="AE121" s="12"/>
      <c r="AF121" s="12"/>
      <c r="AG121" s="12"/>
      <c r="AH121" s="12"/>
    </row>
    <row r="122" spans="2:34" ht="15.75">
      <c r="B122" s="147">
        <v>529</v>
      </c>
      <c r="C122" s="147">
        <v>1906</v>
      </c>
      <c r="D122" s="148" t="s">
        <v>294</v>
      </c>
      <c r="E122" s="147">
        <v>111</v>
      </c>
      <c r="F122" s="163">
        <v>18687</v>
      </c>
      <c r="G122" s="147">
        <v>1</v>
      </c>
      <c r="H122" s="150">
        <f>'Per-Ft'!$L$19</f>
        <v>508.3459499999999</v>
      </c>
      <c r="I122" s="130">
        <f>'Per-Ft'!$L$16</f>
        <v>254.17297500000132</v>
      </c>
      <c r="J122" s="151">
        <v>0</v>
      </c>
      <c r="K122" s="151">
        <v>0</v>
      </c>
      <c r="L122" s="131">
        <f>'Per-Ft'!$L$5</f>
        <v>254.1729750000004</v>
      </c>
      <c r="M122" s="341">
        <f>'Per-Ft'!$J$13+('Rent-List-adu'!F122-18000)*'Per-Ft'!$H$14</f>
        <v>7423.427262775285</v>
      </c>
      <c r="N122" s="326">
        <f t="shared" si="3"/>
        <v>7931.773212775286</v>
      </c>
      <c r="P122" s="292"/>
      <c r="Q122" s="105"/>
      <c r="R122" s="107"/>
      <c r="S122" s="285"/>
      <c r="T122" s="593"/>
      <c r="U122" s="607"/>
      <c r="V122" s="463"/>
      <c r="W122" s="316"/>
      <c r="X122" s="316"/>
      <c r="Y122" s="108"/>
      <c r="Z122" s="108"/>
      <c r="AA122" s="108"/>
      <c r="AB122" s="108"/>
      <c r="AC122" s="108"/>
      <c r="AD122" s="132">
        <f t="shared" si="2"/>
        <v>7931.773212775286</v>
      </c>
      <c r="AE122" s="12"/>
      <c r="AF122" s="12"/>
      <c r="AG122" s="12"/>
      <c r="AH122" s="12"/>
    </row>
    <row r="123" spans="1:34" ht="15.75">
      <c r="A123" s="135" t="s">
        <v>250</v>
      </c>
      <c r="B123" s="136">
        <v>535</v>
      </c>
      <c r="C123" s="136">
        <v>2116</v>
      </c>
      <c r="D123" s="137" t="s">
        <v>295</v>
      </c>
      <c r="E123" s="136">
        <v>115</v>
      </c>
      <c r="F123" s="138">
        <v>18918</v>
      </c>
      <c r="G123" s="136">
        <v>2</v>
      </c>
      <c r="H123" s="139">
        <f>'Per-Ft'!$L$19</f>
        <v>508.3459499999999</v>
      </c>
      <c r="I123" s="152">
        <f>'Per-Ft'!$L$16</f>
        <v>254.17297500000132</v>
      </c>
      <c r="J123" s="140">
        <v>0</v>
      </c>
      <c r="K123" s="140">
        <v>0</v>
      </c>
      <c r="L123" s="141"/>
      <c r="M123" s="537">
        <f>'Per-Ft'!$J$13+('Rent-List-adu'!F123-18000)*'Per-Ft'!$H$14</f>
        <v>7439.29177401748</v>
      </c>
      <c r="N123" s="326">
        <f t="shared" si="3"/>
        <v>8201.810699017482</v>
      </c>
      <c r="O123" s="142">
        <v>115</v>
      </c>
      <c r="P123" s="294">
        <v>6647</v>
      </c>
      <c r="Q123" s="143" t="s">
        <v>156</v>
      </c>
      <c r="R123" s="144">
        <v>750</v>
      </c>
      <c r="S123" s="154" t="s">
        <v>71</v>
      </c>
      <c r="T123" s="145">
        <v>775</v>
      </c>
      <c r="U123" s="155">
        <f>V123-Y123+Z123-AA123-AB123-AC123</f>
        <v>4420.162224999999</v>
      </c>
      <c r="V123" s="395">
        <f>T123*$V$4</f>
        <v>9041.15</v>
      </c>
      <c r="W123" s="317">
        <v>108100</v>
      </c>
      <c r="X123" s="317"/>
      <c r="Y123" s="146">
        <f>W123*$Y$4</f>
        <v>3243</v>
      </c>
      <c r="Z123" s="146">
        <f>W123*$Z$4</f>
        <v>1837.7</v>
      </c>
      <c r="AA123" s="146">
        <f>W123*$AA$4</f>
        <v>1729.6000000000001</v>
      </c>
      <c r="AB123" s="317">
        <f>W123*$AB$4</f>
        <v>324.3</v>
      </c>
      <c r="AC123" s="395">
        <f>V123*$AC$4</f>
        <v>1161.787775</v>
      </c>
      <c r="AD123" s="156">
        <f t="shared" si="2"/>
        <v>12621.972924017482</v>
      </c>
      <c r="AE123" s="12"/>
      <c r="AF123" s="12"/>
      <c r="AG123" s="12"/>
      <c r="AH123" s="12"/>
    </row>
    <row r="124" spans="2:34" ht="15.75">
      <c r="B124" s="147">
        <v>571</v>
      </c>
      <c r="C124" s="147">
        <v>1905</v>
      </c>
      <c r="D124" s="148" t="s">
        <v>68</v>
      </c>
      <c r="E124" s="147" t="s">
        <v>72</v>
      </c>
      <c r="F124" s="149">
        <v>19010</v>
      </c>
      <c r="G124" s="147">
        <v>1</v>
      </c>
      <c r="H124" s="150">
        <v>0</v>
      </c>
      <c r="I124" s="151">
        <v>0</v>
      </c>
      <c r="J124" s="151">
        <v>0</v>
      </c>
      <c r="K124" s="151">
        <v>0</v>
      </c>
      <c r="L124" s="131"/>
      <c r="M124" s="341">
        <f>'Per-Ft'!$J$14+('Rent-List-adu'!F124-19000)*'Per-Ft'!$H$15</f>
        <v>7445.584326734366</v>
      </c>
      <c r="N124" s="326">
        <f t="shared" si="3"/>
        <v>7445.584326734366</v>
      </c>
      <c r="P124" s="292"/>
      <c r="Q124" s="105"/>
      <c r="R124" s="107"/>
      <c r="S124" s="285"/>
      <c r="T124" s="593"/>
      <c r="U124" s="607"/>
      <c r="V124" s="463"/>
      <c r="W124" s="316"/>
      <c r="X124" s="316"/>
      <c r="Y124" s="108"/>
      <c r="Z124" s="108"/>
      <c r="AA124" s="108"/>
      <c r="AB124" s="108"/>
      <c r="AC124" s="108"/>
      <c r="AD124" s="132">
        <f t="shared" si="2"/>
        <v>7445.584326734366</v>
      </c>
      <c r="AE124" s="12"/>
      <c r="AF124" s="12"/>
      <c r="AG124" s="12"/>
      <c r="AH124" s="12"/>
    </row>
    <row r="125" spans="2:34" ht="15.75">
      <c r="B125" s="147">
        <v>573</v>
      </c>
      <c r="C125" s="147">
        <v>1900</v>
      </c>
      <c r="D125" s="148" t="s">
        <v>64</v>
      </c>
      <c r="E125" s="147">
        <v>131</v>
      </c>
      <c r="F125" s="149">
        <v>19071</v>
      </c>
      <c r="G125" s="147">
        <v>1</v>
      </c>
      <c r="H125" s="150">
        <v>0</v>
      </c>
      <c r="I125" s="151">
        <v>0</v>
      </c>
      <c r="J125" s="130">
        <f>'Per-Ft'!$L$13</f>
        <v>254.1729750000004</v>
      </c>
      <c r="K125" s="151">
        <v>0</v>
      </c>
      <c r="L125" s="131"/>
      <c r="M125" s="341">
        <f>'Per-Ft'!$J$14+('Rent-List-adu'!F125-19000)*'Per-Ft'!$H$15</f>
        <v>7449.6163938773</v>
      </c>
      <c r="N125" s="326">
        <f t="shared" si="3"/>
        <v>7195.443418877299</v>
      </c>
      <c r="P125" s="292"/>
      <c r="Q125" s="105"/>
      <c r="R125" s="107"/>
      <c r="S125" s="285"/>
      <c r="T125" s="593"/>
      <c r="U125" s="607"/>
      <c r="V125" s="463"/>
      <c r="W125" s="316"/>
      <c r="X125" s="316"/>
      <c r="Y125" s="108"/>
      <c r="Z125" s="108"/>
      <c r="AA125" s="108"/>
      <c r="AB125" s="108"/>
      <c r="AC125" s="108"/>
      <c r="AD125" s="132">
        <f t="shared" si="2"/>
        <v>7195.443418877299</v>
      </c>
      <c r="AE125" s="12"/>
      <c r="AF125" s="12"/>
      <c r="AG125" s="12"/>
      <c r="AH125" s="12"/>
    </row>
    <row r="126" spans="2:34" ht="15.75">
      <c r="B126" s="147">
        <v>531</v>
      </c>
      <c r="C126" s="147">
        <v>1900</v>
      </c>
      <c r="D126" s="148" t="s">
        <v>294</v>
      </c>
      <c r="E126" s="147">
        <v>113</v>
      </c>
      <c r="F126" s="149">
        <v>19395</v>
      </c>
      <c r="G126" s="147">
        <v>1</v>
      </c>
      <c r="H126" s="150">
        <v>0</v>
      </c>
      <c r="I126" s="130">
        <f>'Per-Ft'!$L$16</f>
        <v>254.17297500000132</v>
      </c>
      <c r="J126" s="151">
        <v>0</v>
      </c>
      <c r="K126" s="151">
        <v>0</v>
      </c>
      <c r="L126" s="131"/>
      <c r="M126" s="341">
        <f>'Per-Ft'!$J$14+('Rent-List-adu'!F126-19000)*'Per-Ft'!$H$15</f>
        <v>7471.032619357802</v>
      </c>
      <c r="N126" s="326">
        <f t="shared" si="3"/>
        <v>7725.205594357803</v>
      </c>
      <c r="P126" s="292"/>
      <c r="Q126" s="105"/>
      <c r="R126" s="107"/>
      <c r="S126" s="285"/>
      <c r="T126" s="593"/>
      <c r="U126" s="607"/>
      <c r="V126" s="463"/>
      <c r="W126" s="316"/>
      <c r="X126" s="316"/>
      <c r="Y126" s="108"/>
      <c r="Z126" s="108"/>
      <c r="AA126" s="108"/>
      <c r="AB126" s="108"/>
      <c r="AC126" s="108"/>
      <c r="AD126" s="132">
        <f t="shared" si="2"/>
        <v>7725.205594357803</v>
      </c>
      <c r="AE126" s="12"/>
      <c r="AF126" s="12"/>
      <c r="AG126" s="12"/>
      <c r="AH126" s="12"/>
    </row>
    <row r="127" spans="2:34" ht="15.75">
      <c r="B127" s="147">
        <v>675</v>
      </c>
      <c r="C127" s="147">
        <v>1803</v>
      </c>
      <c r="D127" s="148" t="s">
        <v>342</v>
      </c>
      <c r="E127" s="147">
        <v>76.5</v>
      </c>
      <c r="F127" s="163">
        <v>19455</v>
      </c>
      <c r="G127" s="147">
        <v>1</v>
      </c>
      <c r="H127" s="150">
        <f>'Per-Ft'!$L$19</f>
        <v>508.3459499999999</v>
      </c>
      <c r="I127" s="130">
        <f>'Per-Ft'!$L$16</f>
        <v>254.17297500000132</v>
      </c>
      <c r="J127" s="151">
        <v>0</v>
      </c>
      <c r="K127" s="151">
        <v>0</v>
      </c>
      <c r="L127" s="131"/>
      <c r="M127" s="341">
        <f>'Per-Ft'!$J$14+('Rent-List-adu'!F127-19000)*'Per-Ft'!$H$15</f>
        <v>7474.998587039377</v>
      </c>
      <c r="N127" s="326">
        <f t="shared" si="3"/>
        <v>8237.517512039378</v>
      </c>
      <c r="P127" s="292"/>
      <c r="Q127" s="105"/>
      <c r="R127" s="107"/>
      <c r="S127" s="285"/>
      <c r="T127" s="593"/>
      <c r="U127" s="607"/>
      <c r="V127" s="463"/>
      <c r="W127" s="316"/>
      <c r="X127" s="316"/>
      <c r="Y127" s="108"/>
      <c r="Z127" s="108"/>
      <c r="AA127" s="108"/>
      <c r="AB127" s="108"/>
      <c r="AC127" s="108"/>
      <c r="AD127" s="132">
        <f t="shared" si="2"/>
        <v>8237.517512039378</v>
      </c>
      <c r="AE127" s="12"/>
      <c r="AF127" s="12"/>
      <c r="AG127" s="12"/>
      <c r="AH127" s="12"/>
    </row>
    <row r="128" spans="2:34" ht="15.75">
      <c r="B128" s="147">
        <v>671</v>
      </c>
      <c r="C128" s="147">
        <v>1701</v>
      </c>
      <c r="D128" s="148" t="s">
        <v>342</v>
      </c>
      <c r="E128" s="147">
        <v>72</v>
      </c>
      <c r="F128" s="149">
        <v>19650</v>
      </c>
      <c r="G128" s="147">
        <v>1</v>
      </c>
      <c r="H128" s="150">
        <f>'Per-Ft'!$L$19</f>
        <v>508.3459499999999</v>
      </c>
      <c r="I128" s="151">
        <v>0</v>
      </c>
      <c r="J128" s="151">
        <v>0</v>
      </c>
      <c r="K128" s="151">
        <v>0</v>
      </c>
      <c r="L128" s="131"/>
      <c r="M128" s="341">
        <f>'Per-Ft'!$J$14+('Rent-List-adu'!F128-19000)*'Per-Ft'!$H$15</f>
        <v>7487.887982004494</v>
      </c>
      <c r="N128" s="326">
        <f t="shared" si="3"/>
        <v>7996.233932004494</v>
      </c>
      <c r="P128" s="292"/>
      <c r="Q128" s="105"/>
      <c r="R128" s="107"/>
      <c r="S128" s="285"/>
      <c r="T128" s="593"/>
      <c r="U128" s="607"/>
      <c r="V128" s="463"/>
      <c r="W128" s="316"/>
      <c r="X128" s="316"/>
      <c r="Y128" s="108"/>
      <c r="Z128" s="108"/>
      <c r="AA128" s="108"/>
      <c r="AB128" s="108"/>
      <c r="AC128" s="108"/>
      <c r="AD128" s="132">
        <f t="shared" si="2"/>
        <v>7996.233932004494</v>
      </c>
      <c r="AE128" s="12"/>
      <c r="AF128" s="12"/>
      <c r="AG128" s="12"/>
      <c r="AH128" s="12"/>
    </row>
    <row r="129" spans="2:34" ht="15.75">
      <c r="B129" s="147">
        <v>544</v>
      </c>
      <c r="C129" s="147">
        <v>2121</v>
      </c>
      <c r="D129" s="148" t="s">
        <v>343</v>
      </c>
      <c r="E129" s="147">
        <v>138.5</v>
      </c>
      <c r="F129" s="149">
        <v>19726</v>
      </c>
      <c r="G129" s="147">
        <v>1</v>
      </c>
      <c r="H129" s="150">
        <v>0</v>
      </c>
      <c r="I129" s="151">
        <v>0</v>
      </c>
      <c r="J129" s="151">
        <v>0</v>
      </c>
      <c r="K129" s="151">
        <v>0</v>
      </c>
      <c r="L129" s="131"/>
      <c r="M129" s="341">
        <f>'Per-Ft'!$J$14+('Rent-List-adu'!F129-19000)*'Per-Ft'!$H$15</f>
        <v>7492.911541067821</v>
      </c>
      <c r="N129" s="326">
        <f t="shared" si="3"/>
        <v>7492.911541067821</v>
      </c>
      <c r="P129" s="292"/>
      <c r="Q129" s="105"/>
      <c r="R129" s="107"/>
      <c r="S129" s="285"/>
      <c r="T129" s="593"/>
      <c r="U129" s="607"/>
      <c r="V129" s="463"/>
      <c r="W129" s="316"/>
      <c r="X129" s="316"/>
      <c r="Y129" s="108"/>
      <c r="Z129" s="108"/>
      <c r="AA129" s="108"/>
      <c r="AB129" s="108"/>
      <c r="AC129" s="108"/>
      <c r="AD129" s="132">
        <f t="shared" si="2"/>
        <v>7492.911541067821</v>
      </c>
      <c r="AE129" s="12"/>
      <c r="AF129" s="12"/>
      <c r="AG129" s="12"/>
      <c r="AH129" s="12"/>
    </row>
    <row r="130" spans="2:34" ht="15.75">
      <c r="B130" s="147">
        <v>564</v>
      </c>
      <c r="C130" s="147">
        <v>2005</v>
      </c>
      <c r="D130" s="148" t="s">
        <v>294</v>
      </c>
      <c r="E130" s="147">
        <v>101</v>
      </c>
      <c r="F130" s="149">
        <v>19823</v>
      </c>
      <c r="G130" s="147">
        <v>1</v>
      </c>
      <c r="H130" s="150">
        <v>0</v>
      </c>
      <c r="I130" s="151">
        <v>0</v>
      </c>
      <c r="J130" s="151">
        <v>0</v>
      </c>
      <c r="K130" s="151">
        <v>0</v>
      </c>
      <c r="L130" s="131"/>
      <c r="M130" s="341">
        <f>'Per-Ft'!$J$14+('Rent-List-adu'!F130-19000)*'Per-Ft'!$H$15</f>
        <v>7499.323188819701</v>
      </c>
      <c r="N130" s="326">
        <f t="shared" si="3"/>
        <v>7499.323188819701</v>
      </c>
      <c r="P130" s="292"/>
      <c r="Q130" s="105"/>
      <c r="R130" s="107"/>
      <c r="S130" s="285"/>
      <c r="T130" s="593"/>
      <c r="U130" s="607"/>
      <c r="V130" s="463"/>
      <c r="W130" s="316"/>
      <c r="X130" s="316"/>
      <c r="Y130" s="108"/>
      <c r="Z130" s="108"/>
      <c r="AA130" s="108"/>
      <c r="AB130" s="108"/>
      <c r="AC130" s="108"/>
      <c r="AD130" s="132">
        <f t="shared" si="2"/>
        <v>7499.323188819701</v>
      </c>
      <c r="AE130" s="12"/>
      <c r="AF130" s="12"/>
      <c r="AG130" s="12"/>
      <c r="AH130" s="12"/>
    </row>
    <row r="131" spans="2:34" ht="15.75">
      <c r="B131" s="147">
        <v>685</v>
      </c>
      <c r="C131" s="147">
        <v>1907</v>
      </c>
      <c r="D131" s="148" t="s">
        <v>164</v>
      </c>
      <c r="E131" s="147">
        <v>82</v>
      </c>
      <c r="F131" s="149">
        <v>20000</v>
      </c>
      <c r="G131" s="147">
        <v>1</v>
      </c>
      <c r="H131" s="150">
        <f>'Per-Ft'!$L$19</f>
        <v>508.3459499999999</v>
      </c>
      <c r="I131" s="151">
        <v>0</v>
      </c>
      <c r="J131" s="151">
        <v>0</v>
      </c>
      <c r="K131" s="151">
        <v>0</v>
      </c>
      <c r="L131" s="131"/>
      <c r="M131" s="341">
        <f>'Per-Ft'!$J$15+('Rent-List-adu'!F131-20000)*'Per-Ft'!$H$16</f>
        <v>7511.022793480345</v>
      </c>
      <c r="N131" s="326">
        <f t="shared" si="3"/>
        <v>8019.368743480345</v>
      </c>
      <c r="P131" s="292"/>
      <c r="Q131" s="105"/>
      <c r="R131" s="107"/>
      <c r="S131" s="285"/>
      <c r="T131" s="593"/>
      <c r="U131" s="607"/>
      <c r="V131" s="463"/>
      <c r="W131" s="316"/>
      <c r="X131" s="316"/>
      <c r="Y131" s="108"/>
      <c r="Z131" s="108"/>
      <c r="AA131" s="108"/>
      <c r="AB131" s="108"/>
      <c r="AC131" s="108"/>
      <c r="AD131" s="132">
        <f t="shared" si="2"/>
        <v>8019.368743480345</v>
      </c>
      <c r="AE131" s="12"/>
      <c r="AF131" s="12"/>
      <c r="AG131" s="12"/>
      <c r="AH131" s="12"/>
    </row>
    <row r="132" spans="2:34" ht="15.75">
      <c r="B132" s="147">
        <v>558</v>
      </c>
      <c r="C132" s="147">
        <v>2116</v>
      </c>
      <c r="D132" s="148" t="s">
        <v>162</v>
      </c>
      <c r="E132" s="147">
        <v>122</v>
      </c>
      <c r="F132" s="149">
        <v>20000</v>
      </c>
      <c r="G132" s="147">
        <v>1</v>
      </c>
      <c r="H132" s="150">
        <v>0</v>
      </c>
      <c r="I132" s="130">
        <f>'Per-Ft'!$L$16</f>
        <v>254.17297500000132</v>
      </c>
      <c r="J132" s="151">
        <v>0</v>
      </c>
      <c r="K132" s="151">
        <v>0</v>
      </c>
      <c r="L132" s="131"/>
      <c r="M132" s="341">
        <f>'Per-Ft'!$J$15+('Rent-List-adu'!F132-20000)*'Per-Ft'!$H$16</f>
        <v>7511.022793480345</v>
      </c>
      <c r="N132" s="326">
        <f t="shared" si="3"/>
        <v>7765.1957684803465</v>
      </c>
      <c r="P132" s="292"/>
      <c r="Q132" s="105"/>
      <c r="R132" s="107"/>
      <c r="S132" s="285"/>
      <c r="T132" s="593"/>
      <c r="U132" s="607"/>
      <c r="V132" s="463"/>
      <c r="W132" s="316"/>
      <c r="X132" s="316"/>
      <c r="Y132" s="108"/>
      <c r="Z132" s="108"/>
      <c r="AA132" s="108"/>
      <c r="AB132" s="108"/>
      <c r="AC132" s="108"/>
      <c r="AD132" s="132">
        <f t="shared" si="2"/>
        <v>7765.1957684803465</v>
      </c>
      <c r="AE132" s="12"/>
      <c r="AF132" s="12"/>
      <c r="AG132" s="12"/>
      <c r="AH132" s="12"/>
    </row>
    <row r="133" spans="2:34" ht="15.75">
      <c r="B133" s="147">
        <v>557</v>
      </c>
      <c r="C133" s="147">
        <v>2118</v>
      </c>
      <c r="D133" s="148" t="s">
        <v>162</v>
      </c>
      <c r="E133" s="147">
        <v>121</v>
      </c>
      <c r="F133" s="149">
        <v>20000</v>
      </c>
      <c r="G133" s="147">
        <v>1</v>
      </c>
      <c r="H133" s="150">
        <v>0</v>
      </c>
      <c r="I133" s="130">
        <f>'Per-Ft'!$L$16</f>
        <v>254.17297500000132</v>
      </c>
      <c r="J133" s="151">
        <v>0</v>
      </c>
      <c r="K133" s="151">
        <v>0</v>
      </c>
      <c r="L133" s="131"/>
      <c r="M133" s="341">
        <f>'Per-Ft'!$J$15+('Rent-List-adu'!F133-20000)*'Per-Ft'!$H$16</f>
        <v>7511.022793480345</v>
      </c>
      <c r="N133" s="326">
        <f t="shared" si="3"/>
        <v>7765.1957684803465</v>
      </c>
      <c r="P133" s="292"/>
      <c r="Q133" s="105"/>
      <c r="R133" s="107"/>
      <c r="S133" s="285"/>
      <c r="T133" s="593"/>
      <c r="U133" s="607"/>
      <c r="V133" s="463"/>
      <c r="W133" s="316"/>
      <c r="X133" s="316"/>
      <c r="Y133" s="108"/>
      <c r="Z133" s="108"/>
      <c r="AA133" s="108"/>
      <c r="AB133" s="108"/>
      <c r="AC133" s="108"/>
      <c r="AD133" s="132">
        <f t="shared" si="2"/>
        <v>7765.1957684803465</v>
      </c>
      <c r="AE133" s="12"/>
      <c r="AF133" s="12"/>
      <c r="AG133" s="12"/>
      <c r="AH133" s="12"/>
    </row>
    <row r="134" spans="2:34" ht="15.75">
      <c r="B134" s="147">
        <v>611</v>
      </c>
      <c r="C134" s="147">
        <v>2215</v>
      </c>
      <c r="D134" s="148" t="s">
        <v>398</v>
      </c>
      <c r="E134" s="147">
        <v>18</v>
      </c>
      <c r="F134" s="149">
        <v>20000</v>
      </c>
      <c r="G134" s="147">
        <v>1</v>
      </c>
      <c r="H134" s="150">
        <v>0</v>
      </c>
      <c r="I134" s="151">
        <v>0</v>
      </c>
      <c r="J134" s="151">
        <v>0</v>
      </c>
      <c r="K134" s="151">
        <v>0</v>
      </c>
      <c r="L134" s="131"/>
      <c r="M134" s="341">
        <f>'Per-Ft'!$J$15+('Rent-List-adu'!F134-20000)*'Per-Ft'!$H$16</f>
        <v>7511.022793480345</v>
      </c>
      <c r="N134" s="326">
        <f t="shared" si="3"/>
        <v>7511.022793480345</v>
      </c>
      <c r="P134" s="292"/>
      <c r="Q134" s="105"/>
      <c r="R134" s="107"/>
      <c r="S134" s="285"/>
      <c r="T134" s="593"/>
      <c r="U134" s="607"/>
      <c r="V134" s="463"/>
      <c r="W134" s="316"/>
      <c r="X134" s="316"/>
      <c r="Y134" s="108"/>
      <c r="Z134" s="108"/>
      <c r="AA134" s="108"/>
      <c r="AB134" s="108"/>
      <c r="AC134" s="108"/>
      <c r="AD134" s="132">
        <f aca="true" t="shared" si="4" ref="AD134:AD182">N134+U134</f>
        <v>7511.022793480345</v>
      </c>
      <c r="AE134" s="12"/>
      <c r="AF134" s="12"/>
      <c r="AG134" s="12"/>
      <c r="AH134" s="12"/>
    </row>
    <row r="135" spans="2:34" ht="15.75">
      <c r="B135" s="147">
        <v>634</v>
      </c>
      <c r="C135" s="147">
        <v>2201</v>
      </c>
      <c r="D135" s="148" t="s">
        <v>133</v>
      </c>
      <c r="E135" s="147">
        <v>47</v>
      </c>
      <c r="F135" s="149">
        <v>20000</v>
      </c>
      <c r="G135" s="147">
        <v>2</v>
      </c>
      <c r="H135" s="150">
        <v>0</v>
      </c>
      <c r="I135" s="151">
        <v>0</v>
      </c>
      <c r="J135" s="130">
        <v>0</v>
      </c>
      <c r="K135" s="130">
        <f>'Per-Ft'!$L$9</f>
        <v>508.34595000000263</v>
      </c>
      <c r="L135" s="131"/>
      <c r="M135" s="341">
        <f>'Per-Ft'!$J$15+('Rent-List-adu'!F135-20000)*'Per-Ft'!$H$16</f>
        <v>7511.022793480345</v>
      </c>
      <c r="N135" s="326">
        <f aca="true" t="shared" si="5" ref="N135:N198">M135+H135+I135-J135-K135-L135</f>
        <v>7002.6768434803425</v>
      </c>
      <c r="P135" s="292"/>
      <c r="Q135" s="105"/>
      <c r="R135" s="107"/>
      <c r="S135" s="285"/>
      <c r="T135" s="593"/>
      <c r="U135" s="607"/>
      <c r="V135" s="463"/>
      <c r="W135" s="316"/>
      <c r="X135" s="316"/>
      <c r="Y135" s="108"/>
      <c r="Z135" s="108"/>
      <c r="AA135" s="108"/>
      <c r="AB135" s="108"/>
      <c r="AC135" s="108"/>
      <c r="AD135" s="132">
        <f t="shared" si="4"/>
        <v>7002.6768434803425</v>
      </c>
      <c r="AE135" s="12"/>
      <c r="AF135" s="12"/>
      <c r="AG135" s="12"/>
      <c r="AH135" s="12"/>
    </row>
    <row r="136" spans="2:34" ht="15.75">
      <c r="B136" s="147">
        <v>538</v>
      </c>
      <c r="C136" s="147">
        <v>1808</v>
      </c>
      <c r="D136" s="148" t="s">
        <v>26</v>
      </c>
      <c r="E136" s="147">
        <v>141</v>
      </c>
      <c r="F136" s="149">
        <v>20000</v>
      </c>
      <c r="G136" s="147">
        <v>1</v>
      </c>
      <c r="H136" s="150">
        <f>'Per-Ft'!$L$19</f>
        <v>508.3459499999999</v>
      </c>
      <c r="I136" s="151">
        <v>0</v>
      </c>
      <c r="J136" s="151">
        <v>0</v>
      </c>
      <c r="K136" s="151">
        <v>0</v>
      </c>
      <c r="L136" s="131"/>
      <c r="M136" s="341">
        <f>'Per-Ft'!$J$15+('Rent-List-adu'!F136-20000)*'Per-Ft'!$H$16</f>
        <v>7511.022793480345</v>
      </c>
      <c r="N136" s="326">
        <f t="shared" si="5"/>
        <v>8019.368743480345</v>
      </c>
      <c r="P136" s="292"/>
      <c r="Q136" s="105"/>
      <c r="R136" s="107"/>
      <c r="S136" s="285"/>
      <c r="T136" s="593"/>
      <c r="U136" s="607"/>
      <c r="V136" s="463"/>
      <c r="W136" s="316"/>
      <c r="X136" s="316"/>
      <c r="Y136" s="108"/>
      <c r="Z136" s="108"/>
      <c r="AA136" s="108"/>
      <c r="AB136" s="108"/>
      <c r="AC136" s="108"/>
      <c r="AD136" s="132">
        <f t="shared" si="4"/>
        <v>8019.368743480345</v>
      </c>
      <c r="AE136" s="12"/>
      <c r="AF136" s="12"/>
      <c r="AG136" s="12"/>
      <c r="AH136" s="12"/>
    </row>
    <row r="137" spans="2:34" ht="15.75">
      <c r="B137" s="147">
        <v>559</v>
      </c>
      <c r="C137" s="147">
        <v>2114</v>
      </c>
      <c r="D137" s="148" t="s">
        <v>162</v>
      </c>
      <c r="E137" s="147">
        <v>123</v>
      </c>
      <c r="F137" s="149">
        <v>20000</v>
      </c>
      <c r="G137" s="147">
        <v>1</v>
      </c>
      <c r="H137" s="150">
        <v>0</v>
      </c>
      <c r="I137" s="130">
        <f>'Per-Ft'!$L$16</f>
        <v>254.17297500000132</v>
      </c>
      <c r="J137" s="151">
        <v>0</v>
      </c>
      <c r="K137" s="151">
        <v>0</v>
      </c>
      <c r="L137" s="131"/>
      <c r="M137" s="341">
        <f>'Per-Ft'!$J$15+('Rent-List-adu'!F137-20000)*'Per-Ft'!$H$16</f>
        <v>7511.022793480345</v>
      </c>
      <c r="N137" s="326">
        <f t="shared" si="5"/>
        <v>7765.1957684803465</v>
      </c>
      <c r="P137" s="292"/>
      <c r="Q137" s="105"/>
      <c r="R137" s="107"/>
      <c r="S137" s="285"/>
      <c r="T137" s="593"/>
      <c r="U137" s="607"/>
      <c r="V137" s="463"/>
      <c r="W137" s="316"/>
      <c r="X137" s="316"/>
      <c r="Y137" s="108"/>
      <c r="Z137" s="108"/>
      <c r="AA137" s="108"/>
      <c r="AB137" s="108"/>
      <c r="AC137" s="108"/>
      <c r="AD137" s="132">
        <f t="shared" si="4"/>
        <v>7765.1957684803465</v>
      </c>
      <c r="AE137" s="12"/>
      <c r="AF137" s="12"/>
      <c r="AG137" s="12"/>
      <c r="AH137" s="12"/>
    </row>
    <row r="138" spans="2:34" ht="15.75">
      <c r="B138" s="147">
        <v>540</v>
      </c>
      <c r="C138" s="147">
        <v>2113</v>
      </c>
      <c r="D138" s="148" t="s">
        <v>343</v>
      </c>
      <c r="E138" s="147" t="s">
        <v>356</v>
      </c>
      <c r="F138" s="149">
        <v>20010</v>
      </c>
      <c r="G138" s="147">
        <v>1</v>
      </c>
      <c r="H138" s="150">
        <f>'Per-Ft'!$L$19</f>
        <v>508.3459499999999</v>
      </c>
      <c r="I138" s="151">
        <v>0</v>
      </c>
      <c r="J138" s="151">
        <v>0</v>
      </c>
      <c r="K138" s="151">
        <v>0</v>
      </c>
      <c r="L138" s="131"/>
      <c r="M138" s="341">
        <f>'Per-Ft'!$J$15+('Rent-List-adu'!F138-20000)*'Per-Ft'!$H$16</f>
        <v>7511.419181318317</v>
      </c>
      <c r="N138" s="326">
        <f t="shared" si="5"/>
        <v>8019.765131318317</v>
      </c>
      <c r="P138" s="292"/>
      <c r="Q138" s="105"/>
      <c r="R138" s="107"/>
      <c r="S138" s="285"/>
      <c r="T138" s="593"/>
      <c r="U138" s="607"/>
      <c r="V138" s="463"/>
      <c r="W138" s="316"/>
      <c r="X138" s="316"/>
      <c r="Y138" s="108"/>
      <c r="Z138" s="108"/>
      <c r="AA138" s="108"/>
      <c r="AB138" s="108"/>
      <c r="AC138" s="108"/>
      <c r="AD138" s="132">
        <f t="shared" si="4"/>
        <v>8019.765131318317</v>
      </c>
      <c r="AE138" s="12"/>
      <c r="AF138" s="12"/>
      <c r="AG138" s="12"/>
      <c r="AH138" s="12"/>
    </row>
    <row r="139" spans="2:34" ht="15.75">
      <c r="B139" s="147">
        <v>629</v>
      </c>
      <c r="C139" s="147">
        <v>2207</v>
      </c>
      <c r="D139" s="148" t="s">
        <v>68</v>
      </c>
      <c r="E139" s="147">
        <v>41</v>
      </c>
      <c r="F139" s="149">
        <v>20084</v>
      </c>
      <c r="G139" s="147">
        <v>1</v>
      </c>
      <c r="H139" s="150">
        <v>0</v>
      </c>
      <c r="I139" s="151">
        <v>0</v>
      </c>
      <c r="J139" s="151">
        <v>0</v>
      </c>
      <c r="K139" s="151">
        <v>0</v>
      </c>
      <c r="L139" s="131"/>
      <c r="M139" s="341">
        <f>'Per-Ft'!$J$15+('Rent-List-adu'!F139-20000)*'Per-Ft'!$H$16</f>
        <v>7514.35245131931</v>
      </c>
      <c r="N139" s="326">
        <f t="shared" si="5"/>
        <v>7514.35245131931</v>
      </c>
      <c r="P139" s="292"/>
      <c r="Q139" s="105"/>
      <c r="R139" s="107"/>
      <c r="S139" s="285"/>
      <c r="T139" s="593"/>
      <c r="U139" s="607"/>
      <c r="V139" s="463"/>
      <c r="W139" s="316"/>
      <c r="X139" s="316"/>
      <c r="Y139" s="108"/>
      <c r="Z139" s="108"/>
      <c r="AA139" s="108"/>
      <c r="AB139" s="108"/>
      <c r="AC139" s="108"/>
      <c r="AD139" s="132">
        <f t="shared" si="4"/>
        <v>7514.35245131931</v>
      </c>
      <c r="AE139" s="12"/>
      <c r="AF139" s="12"/>
      <c r="AG139" s="12"/>
      <c r="AH139" s="12"/>
    </row>
    <row r="140" spans="2:34" ht="15.75">
      <c r="B140" s="147">
        <v>606</v>
      </c>
      <c r="C140" s="147">
        <v>2106</v>
      </c>
      <c r="D140" s="148" t="s">
        <v>164</v>
      </c>
      <c r="E140" s="147">
        <v>15</v>
      </c>
      <c r="F140" s="149">
        <v>20124</v>
      </c>
      <c r="G140" s="147">
        <v>1</v>
      </c>
      <c r="H140" s="150">
        <f>('Per-Ft'!$L$19/2)*0.56</f>
        <v>142.336866</v>
      </c>
      <c r="I140" s="176">
        <v>0</v>
      </c>
      <c r="J140" s="151">
        <v>0</v>
      </c>
      <c r="K140" s="151">
        <v>0</v>
      </c>
      <c r="L140" s="131"/>
      <c r="M140" s="341">
        <f>'Per-Ft'!$J$15+('Rent-List-adu'!F140-20000)*'Per-Ft'!$H$16</f>
        <v>7515.938002671198</v>
      </c>
      <c r="N140" s="326">
        <f t="shared" si="5"/>
        <v>7658.2748686711975</v>
      </c>
      <c r="P140" s="292"/>
      <c r="Q140" s="105"/>
      <c r="R140" s="107"/>
      <c r="S140" s="285"/>
      <c r="T140" s="593"/>
      <c r="U140" s="607"/>
      <c r="V140" s="463"/>
      <c r="W140" s="316"/>
      <c r="X140" s="316"/>
      <c r="Y140" s="108"/>
      <c r="Z140" s="108"/>
      <c r="AA140" s="108"/>
      <c r="AB140" s="108"/>
      <c r="AC140" s="108"/>
      <c r="AD140" s="132">
        <f t="shared" si="4"/>
        <v>7658.2748686711975</v>
      </c>
      <c r="AE140" s="12"/>
      <c r="AF140" s="12"/>
      <c r="AG140" s="12"/>
      <c r="AH140" s="12"/>
    </row>
    <row r="141" spans="2:34" ht="15.75">
      <c r="B141" s="147">
        <v>562</v>
      </c>
      <c r="C141" s="147">
        <v>2115</v>
      </c>
      <c r="D141" s="148" t="s">
        <v>162</v>
      </c>
      <c r="E141" s="147">
        <v>101.5</v>
      </c>
      <c r="F141" s="149">
        <v>20127</v>
      </c>
      <c r="G141" s="147">
        <v>1</v>
      </c>
      <c r="H141" s="150">
        <v>0</v>
      </c>
      <c r="I141" s="151">
        <v>0</v>
      </c>
      <c r="J141" s="151">
        <v>0</v>
      </c>
      <c r="K141" s="151">
        <v>0</v>
      </c>
      <c r="L141" s="131"/>
      <c r="M141" s="341">
        <f>'Per-Ft'!$J$15+('Rent-List-adu'!F141-20000)*'Per-Ft'!$H$16</f>
        <v>7516.05691902259</v>
      </c>
      <c r="N141" s="326">
        <f t="shared" si="5"/>
        <v>7516.05691902259</v>
      </c>
      <c r="P141" s="292"/>
      <c r="Q141" s="105"/>
      <c r="R141" s="107"/>
      <c r="S141" s="285"/>
      <c r="T141" s="593"/>
      <c r="U141" s="607"/>
      <c r="V141" s="463"/>
      <c r="W141" s="316"/>
      <c r="X141" s="316"/>
      <c r="Y141" s="108"/>
      <c r="Z141" s="108"/>
      <c r="AA141" s="108"/>
      <c r="AB141" s="108"/>
      <c r="AC141" s="108"/>
      <c r="AD141" s="132">
        <f t="shared" si="4"/>
        <v>7516.05691902259</v>
      </c>
      <c r="AE141" s="12"/>
      <c r="AF141" s="12"/>
      <c r="AG141" s="12"/>
      <c r="AH141" s="12"/>
    </row>
    <row r="142" spans="2:34" ht="15.75">
      <c r="B142" s="147">
        <v>506</v>
      </c>
      <c r="C142" s="147">
        <v>2116</v>
      </c>
      <c r="D142" s="148" t="s">
        <v>294</v>
      </c>
      <c r="E142" s="147">
        <v>87</v>
      </c>
      <c r="F142" s="149">
        <v>20200</v>
      </c>
      <c r="G142" s="147">
        <v>1</v>
      </c>
      <c r="H142" s="150">
        <v>0</v>
      </c>
      <c r="I142" s="151">
        <v>0</v>
      </c>
      <c r="J142" s="151">
        <v>0</v>
      </c>
      <c r="K142" s="151">
        <v>0</v>
      </c>
      <c r="L142" s="131"/>
      <c r="M142" s="341">
        <f>'Per-Ft'!$J$15+('Rent-List-adu'!F142-20000)*'Per-Ft'!$H$16</f>
        <v>7518.950550239785</v>
      </c>
      <c r="N142" s="326">
        <f t="shared" si="5"/>
        <v>7518.950550239785</v>
      </c>
      <c r="P142" s="292"/>
      <c r="Q142" s="105"/>
      <c r="R142" s="107"/>
      <c r="S142" s="285"/>
      <c r="T142" s="593"/>
      <c r="U142" s="607"/>
      <c r="V142" s="463"/>
      <c r="W142" s="316"/>
      <c r="X142" s="316"/>
      <c r="Y142" s="108"/>
      <c r="Z142" s="108"/>
      <c r="AA142" s="108"/>
      <c r="AB142" s="108"/>
      <c r="AC142" s="108"/>
      <c r="AD142" s="132">
        <f t="shared" si="4"/>
        <v>7518.950550239785</v>
      </c>
      <c r="AE142" s="12"/>
      <c r="AF142" s="12"/>
      <c r="AG142" s="12"/>
      <c r="AH142" s="12"/>
    </row>
    <row r="143" spans="2:34" ht="15.75">
      <c r="B143" s="147">
        <v>609</v>
      </c>
      <c r="C143" s="164">
        <v>2205</v>
      </c>
      <c r="D143" s="175" t="s">
        <v>203</v>
      </c>
      <c r="E143" s="147" t="s">
        <v>204</v>
      </c>
      <c r="F143" s="149">
        <v>20317</v>
      </c>
      <c r="G143" s="147">
        <v>1</v>
      </c>
      <c r="H143" s="150">
        <v>0</v>
      </c>
      <c r="I143" s="151">
        <v>0</v>
      </c>
      <c r="J143" s="151">
        <v>0</v>
      </c>
      <c r="K143" s="151">
        <v>0</v>
      </c>
      <c r="L143" s="131"/>
      <c r="M143" s="341">
        <f>'Per-Ft'!$J$15+('Rent-List-adu'!F143-20000)*'Per-Ft'!$H$16</f>
        <v>7523.588287944058</v>
      </c>
      <c r="N143" s="326">
        <f t="shared" si="5"/>
        <v>7523.588287944058</v>
      </c>
      <c r="P143" s="292"/>
      <c r="Q143" s="105"/>
      <c r="R143" s="107"/>
      <c r="S143" s="285"/>
      <c r="T143" s="593"/>
      <c r="U143" s="607"/>
      <c r="V143" s="463"/>
      <c r="W143" s="316"/>
      <c r="X143" s="316"/>
      <c r="Y143" s="108"/>
      <c r="Z143" s="108"/>
      <c r="AA143" s="108"/>
      <c r="AB143" s="108"/>
      <c r="AC143" s="108"/>
      <c r="AD143" s="132">
        <f t="shared" si="4"/>
        <v>7523.588287944058</v>
      </c>
      <c r="AE143" s="12"/>
      <c r="AF143" s="12"/>
      <c r="AG143" s="12"/>
      <c r="AH143" s="12"/>
    </row>
    <row r="144" spans="2:34" ht="15.75">
      <c r="B144" s="147">
        <v>678</v>
      </c>
      <c r="C144" s="147">
        <v>2401</v>
      </c>
      <c r="D144" s="148" t="s">
        <v>279</v>
      </c>
      <c r="E144" s="147">
        <v>78</v>
      </c>
      <c r="F144" s="149">
        <v>20597</v>
      </c>
      <c r="G144" s="147">
        <v>1</v>
      </c>
      <c r="H144" s="150">
        <f>'Per-Ft'!$L$19</f>
        <v>508.3459499999999</v>
      </c>
      <c r="I144" s="151">
        <v>0</v>
      </c>
      <c r="J144" s="151">
        <v>0</v>
      </c>
      <c r="K144" s="151">
        <v>0</v>
      </c>
      <c r="L144" s="131"/>
      <c r="M144" s="341">
        <f>'Per-Ft'!$J$15+('Rent-List-adu'!F144-20000)*'Per-Ft'!$H$16</f>
        <v>7534.687147407273</v>
      </c>
      <c r="N144" s="326">
        <f t="shared" si="5"/>
        <v>8043.033097407273</v>
      </c>
      <c r="P144" s="292"/>
      <c r="Q144" s="105"/>
      <c r="R144" s="107"/>
      <c r="S144" s="285"/>
      <c r="T144" s="593"/>
      <c r="U144" s="607"/>
      <c r="V144" s="463"/>
      <c r="W144" s="316"/>
      <c r="X144" s="316"/>
      <c r="Y144" s="108"/>
      <c r="Z144" s="108"/>
      <c r="AA144" s="108"/>
      <c r="AB144" s="108"/>
      <c r="AC144" s="108"/>
      <c r="AD144" s="132">
        <f t="shared" si="4"/>
        <v>8043.033097407273</v>
      </c>
      <c r="AE144" s="12"/>
      <c r="AF144" s="12"/>
      <c r="AG144" s="12"/>
      <c r="AH144" s="12"/>
    </row>
    <row r="145" spans="1:34" ht="15.75">
      <c r="A145" s="277" t="s">
        <v>189</v>
      </c>
      <c r="B145" s="157">
        <v>576</v>
      </c>
      <c r="C145" s="157">
        <v>1913</v>
      </c>
      <c r="D145" s="158" t="s">
        <v>68</v>
      </c>
      <c r="E145" s="157">
        <v>128</v>
      </c>
      <c r="F145" s="159">
        <v>20685</v>
      </c>
      <c r="G145" s="157">
        <v>2</v>
      </c>
      <c r="H145" s="160">
        <v>0</v>
      </c>
      <c r="I145" s="161">
        <v>0</v>
      </c>
      <c r="J145" s="282">
        <f>'Per-Ft'!$L$13</f>
        <v>254.1729750000004</v>
      </c>
      <c r="K145" s="161">
        <v>0</v>
      </c>
      <c r="L145" s="162"/>
      <c r="M145" s="538">
        <f>'Per-Ft'!$J$15+('Rent-List-adu'!F145-20000)*'Per-Ft'!$H$16</f>
        <v>7538.175360381427</v>
      </c>
      <c r="N145" s="326">
        <f t="shared" si="5"/>
        <v>7284.002385381426</v>
      </c>
      <c r="O145" s="277"/>
      <c r="P145" s="297"/>
      <c r="Q145" s="277" t="str">
        <f>A145</f>
        <v>Duplex Rentals</v>
      </c>
      <c r="R145" s="278"/>
      <c r="S145" s="288"/>
      <c r="T145" s="280"/>
      <c r="U145" s="279"/>
      <c r="V145" s="399"/>
      <c r="W145" s="321"/>
      <c r="X145" s="321"/>
      <c r="Y145" s="279"/>
      <c r="Z145" s="279"/>
      <c r="AA145" s="279"/>
      <c r="AB145" s="279"/>
      <c r="AC145" s="279"/>
      <c r="AD145" s="281">
        <f t="shared" si="4"/>
        <v>7284.002385381426</v>
      </c>
      <c r="AE145" s="12"/>
      <c r="AF145" s="12"/>
      <c r="AG145" s="12"/>
      <c r="AH145" s="12"/>
    </row>
    <row r="146" spans="2:34" ht="15.75">
      <c r="B146" s="147">
        <v>688</v>
      </c>
      <c r="C146" s="147">
        <v>2217</v>
      </c>
      <c r="D146" s="148" t="s">
        <v>1</v>
      </c>
      <c r="E146" s="147">
        <v>10</v>
      </c>
      <c r="F146" s="149">
        <v>20786</v>
      </c>
      <c r="G146" s="147">
        <v>1</v>
      </c>
      <c r="H146" s="150">
        <v>0</v>
      </c>
      <c r="I146" s="151">
        <v>0</v>
      </c>
      <c r="J146" s="130">
        <f>'Per-Ft'!$L$13</f>
        <v>254.1729750000004</v>
      </c>
      <c r="K146" s="151">
        <v>0</v>
      </c>
      <c r="L146" s="131"/>
      <c r="M146" s="341">
        <f>'Per-Ft'!$J$15+('Rent-List-adu'!F146-20000)*'Per-Ft'!$H$16</f>
        <v>7542.178877544944</v>
      </c>
      <c r="N146" s="326">
        <f t="shared" si="5"/>
        <v>7288.005902544944</v>
      </c>
      <c r="P146" s="292"/>
      <c r="Q146" s="105"/>
      <c r="R146" s="107"/>
      <c r="S146" s="285"/>
      <c r="T146" s="593"/>
      <c r="U146" s="607"/>
      <c r="V146" s="463"/>
      <c r="W146" s="316"/>
      <c r="X146" s="316"/>
      <c r="Y146" s="108"/>
      <c r="Z146" s="108"/>
      <c r="AA146" s="108"/>
      <c r="AB146" s="108"/>
      <c r="AC146" s="108"/>
      <c r="AD146" s="132">
        <f t="shared" si="4"/>
        <v>7288.005902544944</v>
      </c>
      <c r="AE146" s="12"/>
      <c r="AF146" s="12"/>
      <c r="AG146" s="12"/>
      <c r="AH146" s="12"/>
    </row>
    <row r="147" spans="2:34" ht="15.75">
      <c r="B147" s="147">
        <v>537</v>
      </c>
      <c r="C147" s="147">
        <v>2122</v>
      </c>
      <c r="D147" s="148" t="s">
        <v>295</v>
      </c>
      <c r="E147" s="147">
        <v>117</v>
      </c>
      <c r="F147" s="149">
        <v>20943</v>
      </c>
      <c r="G147" s="147">
        <v>1</v>
      </c>
      <c r="H147" s="150">
        <v>0</v>
      </c>
      <c r="I147" s="130">
        <f>'Per-Ft'!$L$16</f>
        <v>254.17297500000132</v>
      </c>
      <c r="J147" s="151">
        <v>0</v>
      </c>
      <c r="K147" s="151">
        <v>0</v>
      </c>
      <c r="L147" s="131"/>
      <c r="M147" s="341">
        <f>'Per-Ft'!$J$15+('Rent-List-adu'!F147-20000)*'Per-Ft'!$H$16</f>
        <v>7548.402166601104</v>
      </c>
      <c r="N147" s="326">
        <f t="shared" si="5"/>
        <v>7802.575141601105</v>
      </c>
      <c r="P147" s="292"/>
      <c r="Q147" s="105"/>
      <c r="R147" s="107"/>
      <c r="S147" s="285"/>
      <c r="T147" s="593"/>
      <c r="U147" s="607"/>
      <c r="V147" s="463"/>
      <c r="W147" s="316"/>
      <c r="X147" s="316"/>
      <c r="Y147" s="108"/>
      <c r="Z147" s="108"/>
      <c r="AA147" s="108"/>
      <c r="AB147" s="108"/>
      <c r="AC147" s="108"/>
      <c r="AD147" s="132">
        <f t="shared" si="4"/>
        <v>7802.575141601105</v>
      </c>
      <c r="AE147" s="12"/>
      <c r="AF147" s="12"/>
      <c r="AG147" s="12"/>
      <c r="AH147" s="12"/>
    </row>
    <row r="148" spans="2:34" ht="15.75">
      <c r="B148" s="147">
        <v>603</v>
      </c>
      <c r="C148" s="147">
        <v>2221</v>
      </c>
      <c r="D148" s="148" t="s">
        <v>55</v>
      </c>
      <c r="E148" s="147">
        <v>9</v>
      </c>
      <c r="F148" s="149">
        <v>20949</v>
      </c>
      <c r="G148" s="147">
        <v>1</v>
      </c>
      <c r="H148" s="150">
        <v>0</v>
      </c>
      <c r="I148" s="151">
        <v>0</v>
      </c>
      <c r="J148" s="130">
        <f>'Per-Ft'!$L$13</f>
        <v>254.1729750000004</v>
      </c>
      <c r="K148" s="151">
        <v>0</v>
      </c>
      <c r="L148" s="131"/>
      <c r="M148" s="341">
        <f>'Per-Ft'!$J$15+('Rent-List-adu'!F148-20000)*'Per-Ft'!$H$16</f>
        <v>7548.639999303888</v>
      </c>
      <c r="N148" s="326">
        <f t="shared" si="5"/>
        <v>7294.467024303887</v>
      </c>
      <c r="P148" s="292"/>
      <c r="Q148" s="105"/>
      <c r="R148" s="107"/>
      <c r="S148" s="285"/>
      <c r="T148" s="593"/>
      <c r="U148" s="607"/>
      <c r="V148" s="463"/>
      <c r="W148" s="316"/>
      <c r="X148" s="316"/>
      <c r="Y148" s="108"/>
      <c r="Z148" s="108"/>
      <c r="AA148" s="108"/>
      <c r="AB148" s="108"/>
      <c r="AC148" s="108"/>
      <c r="AD148" s="132">
        <f t="shared" si="4"/>
        <v>7294.467024303887</v>
      </c>
      <c r="AE148" s="12"/>
      <c r="AF148" s="12"/>
      <c r="AG148" s="12"/>
      <c r="AH148" s="12"/>
    </row>
    <row r="149" spans="2:34" ht="15.75">
      <c r="B149" s="147">
        <v>553</v>
      </c>
      <c r="C149" s="147">
        <v>1904</v>
      </c>
      <c r="D149" s="148" t="s">
        <v>68</v>
      </c>
      <c r="E149" s="147">
        <v>119.5</v>
      </c>
      <c r="F149" s="149">
        <v>21080</v>
      </c>
      <c r="G149" s="147">
        <v>1</v>
      </c>
      <c r="H149" s="150">
        <v>0</v>
      </c>
      <c r="I149" s="130">
        <f>'Per-Ft'!$L$16</f>
        <v>254.17297500000132</v>
      </c>
      <c r="J149" s="151">
        <v>0</v>
      </c>
      <c r="K149" s="151">
        <v>0</v>
      </c>
      <c r="L149" s="131"/>
      <c r="M149" s="342">
        <f>'Per-Ft'!$J$16+('Rent-List-adu'!F149-21000)*'Per-Ft'!$H$17</f>
        <v>7553.443246315945</v>
      </c>
      <c r="N149" s="326">
        <f t="shared" si="5"/>
        <v>7807.616221315946</v>
      </c>
      <c r="P149" s="292"/>
      <c r="Q149" s="105"/>
      <c r="R149" s="107"/>
      <c r="S149" s="285"/>
      <c r="T149" s="593"/>
      <c r="U149" s="607"/>
      <c r="V149" s="463"/>
      <c r="W149" s="316"/>
      <c r="X149" s="316"/>
      <c r="Y149" s="108"/>
      <c r="Z149" s="108"/>
      <c r="AA149" s="108"/>
      <c r="AB149" s="108"/>
      <c r="AC149" s="108"/>
      <c r="AD149" s="132">
        <f t="shared" si="4"/>
        <v>7807.616221315946</v>
      </c>
      <c r="AE149" s="12"/>
      <c r="AF149" s="12"/>
      <c r="AG149" s="12"/>
      <c r="AH149" s="12"/>
    </row>
    <row r="150" spans="2:34" ht="15.75">
      <c r="B150" s="147">
        <v>670</v>
      </c>
      <c r="C150" s="147">
        <v>1613</v>
      </c>
      <c r="D150" s="148" t="s">
        <v>278</v>
      </c>
      <c r="E150" s="147">
        <v>69.5</v>
      </c>
      <c r="F150" s="149">
        <v>21214</v>
      </c>
      <c r="G150" s="147">
        <v>1</v>
      </c>
      <c r="H150" s="150">
        <f>'Per-Ft'!$L$19</f>
        <v>508.3459499999999</v>
      </c>
      <c r="I150" s="151">
        <v>0</v>
      </c>
      <c r="J150" s="151">
        <v>0</v>
      </c>
      <c r="K150" s="151">
        <v>0</v>
      </c>
      <c r="L150" s="131"/>
      <c r="M150" s="342">
        <f>'Per-Ft'!$J$16+('Rent-List-adu'!F150-21000)*'Per-Ft'!$H$17</f>
        <v>7558.102541955265</v>
      </c>
      <c r="N150" s="326">
        <f t="shared" si="5"/>
        <v>8066.448491955265</v>
      </c>
      <c r="P150" s="292"/>
      <c r="Q150" s="105"/>
      <c r="R150" s="107"/>
      <c r="S150" s="285"/>
      <c r="T150" s="593"/>
      <c r="U150" s="607"/>
      <c r="V150" s="463"/>
      <c r="W150" s="316"/>
      <c r="X150" s="316"/>
      <c r="Y150" s="108"/>
      <c r="Z150" s="108"/>
      <c r="AA150" s="108"/>
      <c r="AB150" s="108"/>
      <c r="AC150" s="108"/>
      <c r="AD150" s="132">
        <f t="shared" si="4"/>
        <v>8066.448491955265</v>
      </c>
      <c r="AE150" s="12"/>
      <c r="AF150" s="12"/>
      <c r="AG150" s="12"/>
      <c r="AH150" s="12"/>
    </row>
    <row r="151" spans="2:34" ht="15.75">
      <c r="B151" s="147">
        <v>539</v>
      </c>
      <c r="C151" s="147">
        <v>1806</v>
      </c>
      <c r="D151" s="148" t="s">
        <v>26</v>
      </c>
      <c r="E151" s="147">
        <v>142</v>
      </c>
      <c r="F151" s="149">
        <v>21234</v>
      </c>
      <c r="G151" s="147">
        <v>1</v>
      </c>
      <c r="H151" s="150">
        <f>'Per-Ft'!$L$19</f>
        <v>508.3459499999999</v>
      </c>
      <c r="I151" s="151">
        <v>0</v>
      </c>
      <c r="J151" s="151">
        <v>0</v>
      </c>
      <c r="K151" s="151">
        <v>0</v>
      </c>
      <c r="L151" s="131"/>
      <c r="M151" s="342">
        <f>'Per-Ft'!$J$16+('Rent-List-adu'!F151-21000)*'Per-Ft'!$H$17</f>
        <v>7558.797959214865</v>
      </c>
      <c r="N151" s="326">
        <f t="shared" si="5"/>
        <v>8067.143909214865</v>
      </c>
      <c r="P151" s="292"/>
      <c r="Q151" s="105"/>
      <c r="R151" s="107"/>
      <c r="S151" s="285"/>
      <c r="T151" s="593"/>
      <c r="U151" s="607"/>
      <c r="V151" s="463"/>
      <c r="W151" s="316"/>
      <c r="X151" s="316"/>
      <c r="Y151" s="108"/>
      <c r="Z151" s="108"/>
      <c r="AA151" s="108"/>
      <c r="AB151" s="108"/>
      <c r="AC151" s="108"/>
      <c r="AD151" s="132">
        <f t="shared" si="4"/>
        <v>8067.143909214865</v>
      </c>
      <c r="AE151" s="12"/>
      <c r="AF151" s="12"/>
      <c r="AG151" s="12"/>
      <c r="AH151" s="12"/>
    </row>
    <row r="152" spans="1:34" ht="15.75">
      <c r="A152" s="277" t="s">
        <v>189</v>
      </c>
      <c r="B152" s="157">
        <v>519</v>
      </c>
      <c r="C152" s="157">
        <v>2106</v>
      </c>
      <c r="D152" s="158" t="s">
        <v>294</v>
      </c>
      <c r="E152" s="157">
        <v>92.5</v>
      </c>
      <c r="F152" s="159">
        <v>21293</v>
      </c>
      <c r="G152" s="157">
        <v>2</v>
      </c>
      <c r="H152" s="160">
        <v>0</v>
      </c>
      <c r="I152" s="161">
        <v>0</v>
      </c>
      <c r="J152" s="161">
        <v>0</v>
      </c>
      <c r="K152" s="161">
        <v>0</v>
      </c>
      <c r="L152" s="162"/>
      <c r="M152" s="538">
        <f>'Per-Ft'!$J$16+('Rent-List-adu'!F152-21000)*'Per-Ft'!$H$17</f>
        <v>7560.849440130684</v>
      </c>
      <c r="N152" s="326">
        <f t="shared" si="5"/>
        <v>7560.849440130684</v>
      </c>
      <c r="O152" s="277"/>
      <c r="P152" s="297"/>
      <c r="Q152" s="277" t="str">
        <f>A152</f>
        <v>Duplex Rentals</v>
      </c>
      <c r="R152" s="278"/>
      <c r="S152" s="288"/>
      <c r="T152" s="280"/>
      <c r="U152" s="279"/>
      <c r="V152" s="399"/>
      <c r="W152" s="321"/>
      <c r="X152" s="321"/>
      <c r="Y152" s="279"/>
      <c r="Z152" s="279"/>
      <c r="AA152" s="279"/>
      <c r="AB152" s="279"/>
      <c r="AC152" s="279"/>
      <c r="AD152" s="281">
        <f t="shared" si="4"/>
        <v>7560.849440130684</v>
      </c>
      <c r="AE152" s="12"/>
      <c r="AF152" s="12"/>
      <c r="AG152" s="12"/>
      <c r="AH152" s="12"/>
    </row>
    <row r="153" spans="2:34" ht="15.75">
      <c r="B153" s="147">
        <v>513</v>
      </c>
      <c r="C153" s="147">
        <v>2115</v>
      </c>
      <c r="D153" s="148" t="s">
        <v>398</v>
      </c>
      <c r="E153" s="147">
        <v>97</v>
      </c>
      <c r="F153" s="149">
        <v>21380</v>
      </c>
      <c r="G153" s="147">
        <v>1</v>
      </c>
      <c r="H153" s="150">
        <v>0</v>
      </c>
      <c r="I153" s="151">
        <v>0</v>
      </c>
      <c r="J153" s="151">
        <v>0</v>
      </c>
      <c r="K153" s="151">
        <v>0</v>
      </c>
      <c r="L153" s="131"/>
      <c r="M153" s="342">
        <f>'Per-Ft'!$J$16+('Rent-List-adu'!F153-21000)*'Per-Ft'!$H$17</f>
        <v>7563.874505209945</v>
      </c>
      <c r="N153" s="326">
        <f t="shared" si="5"/>
        <v>7563.874505209945</v>
      </c>
      <c r="P153" s="292"/>
      <c r="Q153" s="105"/>
      <c r="R153" s="107"/>
      <c r="S153" s="285"/>
      <c r="T153" s="593"/>
      <c r="U153" s="607"/>
      <c r="V153" s="463"/>
      <c r="W153" s="316"/>
      <c r="X153" s="316"/>
      <c r="Y153" s="108"/>
      <c r="Z153" s="108"/>
      <c r="AA153" s="108"/>
      <c r="AB153" s="108"/>
      <c r="AC153" s="108"/>
      <c r="AD153" s="132">
        <f t="shared" si="4"/>
        <v>7563.874505209945</v>
      </c>
      <c r="AE153" s="12"/>
      <c r="AF153" s="12"/>
      <c r="AG153" s="12"/>
      <c r="AH153" s="12"/>
    </row>
    <row r="154" spans="2:34" ht="15.75">
      <c r="B154" s="147">
        <v>536</v>
      </c>
      <c r="C154" s="147">
        <v>2120</v>
      </c>
      <c r="D154" s="148" t="s">
        <v>295</v>
      </c>
      <c r="E154" s="147">
        <v>116</v>
      </c>
      <c r="F154" s="149">
        <v>21655</v>
      </c>
      <c r="G154" s="147">
        <v>1</v>
      </c>
      <c r="H154" s="150">
        <f>'Per-Ft'!$L$19</f>
        <v>508.3459499999999</v>
      </c>
      <c r="I154" s="130">
        <f>'Per-Ft'!$L$16</f>
        <v>254.17297500000132</v>
      </c>
      <c r="J154" s="151">
        <v>0</v>
      </c>
      <c r="K154" s="151">
        <v>0</v>
      </c>
      <c r="L154" s="131"/>
      <c r="M154" s="342">
        <f>'Per-Ft'!$J$16+('Rent-List-adu'!F154-21000)*'Per-Ft'!$H$17</f>
        <v>7573.436492529445</v>
      </c>
      <c r="N154" s="326">
        <f t="shared" si="5"/>
        <v>8335.955417529447</v>
      </c>
      <c r="P154" s="292"/>
      <c r="Q154" s="105"/>
      <c r="R154" s="107"/>
      <c r="S154" s="285"/>
      <c r="T154" s="593"/>
      <c r="U154" s="607"/>
      <c r="V154" s="463"/>
      <c r="W154" s="316"/>
      <c r="X154" s="316"/>
      <c r="Y154" s="108"/>
      <c r="Z154" s="108"/>
      <c r="AA154" s="108"/>
      <c r="AB154" s="108"/>
      <c r="AC154" s="108"/>
      <c r="AD154" s="132">
        <f t="shared" si="4"/>
        <v>8335.955417529447</v>
      </c>
      <c r="AE154" s="12"/>
      <c r="AF154" s="12"/>
      <c r="AG154" s="12"/>
      <c r="AH154" s="12"/>
    </row>
    <row r="155" spans="1:34" ht="15.75">
      <c r="A155" s="192" t="s">
        <v>178</v>
      </c>
      <c r="B155" s="193">
        <v>620</v>
      </c>
      <c r="C155" s="193">
        <v>2007</v>
      </c>
      <c r="D155" s="194" t="s">
        <v>164</v>
      </c>
      <c r="E155" s="193">
        <v>24</v>
      </c>
      <c r="F155" s="308">
        <v>21769</v>
      </c>
      <c r="G155" s="193">
        <v>3</v>
      </c>
      <c r="H155" s="309">
        <f>'Per-Ft'!$L$19</f>
        <v>508.3459499999999</v>
      </c>
      <c r="I155" s="310">
        <v>0</v>
      </c>
      <c r="J155" s="310">
        <v>0</v>
      </c>
      <c r="K155" s="310">
        <v>0</v>
      </c>
      <c r="L155" s="311"/>
      <c r="M155" s="546">
        <f>'Per-Ft'!$J$16+('Rent-List-adu'!F155-21000)*'Per-Ft'!$H$17</f>
        <v>7577.400370909165</v>
      </c>
      <c r="N155" s="326">
        <f t="shared" si="5"/>
        <v>8085.746320909165</v>
      </c>
      <c r="O155" s="195">
        <v>24</v>
      </c>
      <c r="P155" s="312">
        <v>8707</v>
      </c>
      <c r="Q155" s="196" t="s">
        <v>179</v>
      </c>
      <c r="R155" s="313">
        <v>1000</v>
      </c>
      <c r="S155" s="197" t="s">
        <v>248</v>
      </c>
      <c r="T155" s="314">
        <v>1125</v>
      </c>
      <c r="U155" s="337">
        <f>V155-Y155+Z155-AA155-X155-AB155-AC155</f>
        <v>5833.015874999998</v>
      </c>
      <c r="V155" s="400">
        <f>T155*$V$4</f>
        <v>13124.25</v>
      </c>
      <c r="W155" s="320">
        <v>137649</v>
      </c>
      <c r="X155" s="320">
        <v>1200</v>
      </c>
      <c r="Y155" s="198">
        <f>W155*$Y$4</f>
        <v>4129.47</v>
      </c>
      <c r="Z155" s="198">
        <f>W155*$Z$4</f>
        <v>2340.0330000000004</v>
      </c>
      <c r="AA155" s="198">
        <f>W155*$AA$4</f>
        <v>2202.384</v>
      </c>
      <c r="AB155" s="320">
        <f>W155*$AB$4</f>
        <v>412.947</v>
      </c>
      <c r="AC155" s="400">
        <f>V155*$AC$4</f>
        <v>1686.4661250000001</v>
      </c>
      <c r="AD155" s="199">
        <f t="shared" si="4"/>
        <v>13918.762195909163</v>
      </c>
      <c r="AE155" s="12"/>
      <c r="AF155" s="12"/>
      <c r="AG155" s="12"/>
      <c r="AH155" s="12"/>
    </row>
    <row r="156" spans="2:34" ht="15.75">
      <c r="B156" s="147">
        <v>565</v>
      </c>
      <c r="C156" s="147">
        <v>2116</v>
      </c>
      <c r="D156" s="148" t="s">
        <v>398</v>
      </c>
      <c r="E156" s="147">
        <v>103</v>
      </c>
      <c r="F156" s="149">
        <v>22000</v>
      </c>
      <c r="G156" s="147">
        <v>1</v>
      </c>
      <c r="H156" s="150">
        <v>0</v>
      </c>
      <c r="I156" s="151">
        <v>0</v>
      </c>
      <c r="J156" s="151">
        <v>0</v>
      </c>
      <c r="K156" s="151">
        <v>0</v>
      </c>
      <c r="L156" s="131"/>
      <c r="M156" s="342">
        <f>'Per-Ft'!$J$17+('Rent-List-adu'!F156-22000)*'Per-Ft'!$H$18</f>
        <v>7585.432440257545</v>
      </c>
      <c r="N156" s="326">
        <f t="shared" si="5"/>
        <v>7585.432440257545</v>
      </c>
      <c r="P156" s="292"/>
      <c r="Q156" s="105"/>
      <c r="R156" s="107"/>
      <c r="S156" s="285"/>
      <c r="T156" s="593"/>
      <c r="U156" s="607"/>
      <c r="V156" s="463"/>
      <c r="W156" s="319"/>
      <c r="X156" s="316"/>
      <c r="Y156" s="108"/>
      <c r="Z156" s="108"/>
      <c r="AA156" s="108"/>
      <c r="AB156" s="108"/>
      <c r="AC156" s="108"/>
      <c r="AD156" s="132">
        <f t="shared" si="4"/>
        <v>7585.432440257545</v>
      </c>
      <c r="AE156" s="12"/>
      <c r="AF156" s="12"/>
      <c r="AG156" s="12"/>
      <c r="AH156" s="12"/>
    </row>
    <row r="157" spans="2:34" ht="15.75">
      <c r="B157" s="147">
        <v>672</v>
      </c>
      <c r="C157" s="147">
        <v>1705</v>
      </c>
      <c r="D157" s="148" t="s">
        <v>342</v>
      </c>
      <c r="E157" s="147">
        <v>71.5</v>
      </c>
      <c r="F157" s="149">
        <v>22256</v>
      </c>
      <c r="G157" s="147">
        <v>1</v>
      </c>
      <c r="H157" s="150">
        <f>'Per-Ft'!$L$19</f>
        <v>508.3459499999999</v>
      </c>
      <c r="I157" s="151">
        <v>0</v>
      </c>
      <c r="J157" s="151">
        <v>0</v>
      </c>
      <c r="K157" s="151">
        <v>0</v>
      </c>
      <c r="L157" s="131"/>
      <c r="M157" s="342">
        <f>'Per-Ft'!$J$17+('Rent-List-adu'!F157-22000)*'Per-Ft'!$H$18</f>
        <v>7593.2406340495445</v>
      </c>
      <c r="N157" s="326">
        <f t="shared" si="5"/>
        <v>8101.586584049544</v>
      </c>
      <c r="P157" s="292"/>
      <c r="Q157" s="105"/>
      <c r="R157" s="107"/>
      <c r="S157" s="285"/>
      <c r="T157" s="593"/>
      <c r="U157" s="607"/>
      <c r="V157" s="463"/>
      <c r="W157" s="319"/>
      <c r="X157" s="316"/>
      <c r="Y157" s="108"/>
      <c r="Z157" s="108"/>
      <c r="AA157" s="108"/>
      <c r="AB157" s="108"/>
      <c r="AC157" s="108"/>
      <c r="AD157" s="132">
        <f t="shared" si="4"/>
        <v>8101.586584049544</v>
      </c>
      <c r="AE157" s="12"/>
      <c r="AF157" s="12"/>
      <c r="AG157" s="12"/>
      <c r="AH157" s="12"/>
    </row>
    <row r="158" spans="2:34" ht="15.75">
      <c r="B158" s="147">
        <v>545</v>
      </c>
      <c r="C158" s="147">
        <v>2123</v>
      </c>
      <c r="D158" s="148" t="s">
        <v>343</v>
      </c>
      <c r="E158" s="147">
        <v>139</v>
      </c>
      <c r="F158" s="149">
        <v>22433</v>
      </c>
      <c r="G158" s="147">
        <v>1</v>
      </c>
      <c r="H158" s="150">
        <v>0</v>
      </c>
      <c r="I158" s="130">
        <f>'Per-Ft'!$L$16</f>
        <v>254.17297500000132</v>
      </c>
      <c r="J158" s="151">
        <v>0</v>
      </c>
      <c r="K158" s="151">
        <v>0</v>
      </c>
      <c r="L158" s="131"/>
      <c r="M158" s="342">
        <f>'Per-Ft'!$J$17+('Rent-List-adu'!F158-22000)*'Per-Ft'!$H$18</f>
        <v>7598.639268038544</v>
      </c>
      <c r="N158" s="326">
        <f t="shared" si="5"/>
        <v>7852.812243038546</v>
      </c>
      <c r="P158" s="292"/>
      <c r="Q158" s="105"/>
      <c r="R158" s="107"/>
      <c r="S158" s="285"/>
      <c r="T158" s="593"/>
      <c r="U158" s="607"/>
      <c r="V158" s="463"/>
      <c r="W158" s="319"/>
      <c r="X158" s="316"/>
      <c r="Y158" s="108"/>
      <c r="Z158" s="108"/>
      <c r="AA158" s="108"/>
      <c r="AB158" s="108"/>
      <c r="AC158" s="108"/>
      <c r="AD158" s="132">
        <f t="shared" si="4"/>
        <v>7852.812243038546</v>
      </c>
      <c r="AE158" s="12"/>
      <c r="AF158" s="12"/>
      <c r="AG158" s="12"/>
      <c r="AH158" s="12"/>
    </row>
    <row r="159" spans="1:34" ht="15.75">
      <c r="A159" s="135" t="s">
        <v>161</v>
      </c>
      <c r="B159" s="136">
        <v>615</v>
      </c>
      <c r="C159" s="136">
        <v>2103</v>
      </c>
      <c r="D159" s="137" t="s">
        <v>164</v>
      </c>
      <c r="E159" s="136">
        <v>14</v>
      </c>
      <c r="F159" s="138">
        <v>22473</v>
      </c>
      <c r="G159" s="136">
        <v>2</v>
      </c>
      <c r="H159" s="139">
        <f>'Per-Ft'!$L$19</f>
        <v>508.3459499999999</v>
      </c>
      <c r="I159" s="140">
        <v>0</v>
      </c>
      <c r="J159" s="140">
        <v>0</v>
      </c>
      <c r="K159" s="140">
        <v>0</v>
      </c>
      <c r="L159" s="141"/>
      <c r="M159" s="537">
        <f>'Per-Ft'!$J$17+('Rent-List-adu'!F159-22000)*'Per-Ft'!$H$18</f>
        <v>7599.8592983185445</v>
      </c>
      <c r="N159" s="326">
        <f t="shared" si="5"/>
        <v>8108.205248318544</v>
      </c>
      <c r="O159" s="142">
        <v>14</v>
      </c>
      <c r="P159" s="294">
        <v>11069</v>
      </c>
      <c r="Q159" s="143" t="s">
        <v>404</v>
      </c>
      <c r="R159" s="144">
        <v>1000</v>
      </c>
      <c r="S159" s="154" t="s">
        <v>408</v>
      </c>
      <c r="T159" s="145">
        <v>1050</v>
      </c>
      <c r="U159" s="155">
        <f>V159-X159-Y159+Z159-AA159-AB159-AC159</f>
        <v>6270.496950000001</v>
      </c>
      <c r="V159" s="395">
        <f>T159*$V$4</f>
        <v>12249.300000000001</v>
      </c>
      <c r="W159" s="317">
        <v>137649</v>
      </c>
      <c r="X159" s="317"/>
      <c r="Y159" s="146">
        <f>W159*$Y$4</f>
        <v>4129.47</v>
      </c>
      <c r="Z159" s="146">
        <f>W159*$Z$4</f>
        <v>2340.0330000000004</v>
      </c>
      <c r="AA159" s="146">
        <f>W159*$AA$4</f>
        <v>2202.384</v>
      </c>
      <c r="AB159" s="317">
        <f>W159*$AB$4</f>
        <v>412.947</v>
      </c>
      <c r="AC159" s="395">
        <f>V159*$AC$4</f>
        <v>1574.0350500000002</v>
      </c>
      <c r="AD159" s="156">
        <f t="shared" si="4"/>
        <v>14378.702198318544</v>
      </c>
      <c r="AE159" s="12"/>
      <c r="AF159" s="12"/>
      <c r="AG159" s="12"/>
      <c r="AH159" s="12"/>
    </row>
    <row r="160" spans="2:34" ht="15.75">
      <c r="B160" s="147">
        <v>543</v>
      </c>
      <c r="C160" s="147">
        <v>1807</v>
      </c>
      <c r="D160" s="148" t="s">
        <v>26</v>
      </c>
      <c r="E160" s="147">
        <v>138</v>
      </c>
      <c r="F160" s="149">
        <v>23554</v>
      </c>
      <c r="G160" s="147">
        <v>1</v>
      </c>
      <c r="H160" s="150">
        <v>0</v>
      </c>
      <c r="I160" s="130">
        <f>'Per-Ft'!$L$16</f>
        <v>254.17297500000132</v>
      </c>
      <c r="J160" s="151">
        <v>0</v>
      </c>
      <c r="K160" s="151">
        <v>0</v>
      </c>
      <c r="L160" s="131"/>
      <c r="M160" s="342">
        <f>'Per-Ft'!$J$18+('Rent-List-adu'!F160-23000)*'Per-Ft'!$H$19</f>
        <v>7630.464977922625</v>
      </c>
      <c r="N160" s="326">
        <f t="shared" si="5"/>
        <v>7884.637952922626</v>
      </c>
      <c r="P160" s="292"/>
      <c r="Q160" s="105"/>
      <c r="R160" s="107"/>
      <c r="S160" s="285"/>
      <c r="T160" s="593"/>
      <c r="U160" s="607"/>
      <c r="V160" s="463"/>
      <c r="W160" s="316"/>
      <c r="X160" s="316"/>
      <c r="Y160" s="108"/>
      <c r="Z160" s="108"/>
      <c r="AA160" s="108"/>
      <c r="AB160" s="108"/>
      <c r="AC160" s="108"/>
      <c r="AD160" s="132">
        <f t="shared" si="4"/>
        <v>7884.637952922626</v>
      </c>
      <c r="AE160" s="12"/>
      <c r="AF160" s="12"/>
      <c r="AG160" s="12"/>
      <c r="AH160" s="12"/>
    </row>
    <row r="161" spans="1:34" ht="15.75">
      <c r="A161" s="165" t="s">
        <v>177</v>
      </c>
      <c r="B161" s="166">
        <v>534</v>
      </c>
      <c r="C161" s="166">
        <v>2112</v>
      </c>
      <c r="D161" s="167" t="s">
        <v>295</v>
      </c>
      <c r="E161" s="166">
        <v>114</v>
      </c>
      <c r="F161" s="168">
        <v>23582</v>
      </c>
      <c r="G161" s="166">
        <v>3</v>
      </c>
      <c r="H161" s="169">
        <f>'Per-Ft'!$L$19</f>
        <v>508.3459499999999</v>
      </c>
      <c r="I161" s="170">
        <v>0</v>
      </c>
      <c r="J161" s="170">
        <v>0</v>
      </c>
      <c r="K161" s="170">
        <v>0</v>
      </c>
      <c r="L161" s="171"/>
      <c r="M161" s="536">
        <f>'Per-Ft'!$J$18+('Rent-List-adu'!F161-23000)*'Per-Ft'!$H$19</f>
        <v>7631.199436151184</v>
      </c>
      <c r="N161" s="326">
        <f t="shared" si="5"/>
        <v>8139.545386151184</v>
      </c>
      <c r="O161" s="181"/>
      <c r="P161" s="295"/>
      <c r="Q161" s="180"/>
      <c r="R161" s="182"/>
      <c r="S161" s="287"/>
      <c r="T161" s="184"/>
      <c r="U161" s="183"/>
      <c r="V161" s="397"/>
      <c r="W161" s="318"/>
      <c r="X161" s="318"/>
      <c r="Y161" s="183"/>
      <c r="Z161" s="183"/>
      <c r="AA161" s="183"/>
      <c r="AB161" s="183"/>
      <c r="AC161" s="183"/>
      <c r="AD161" s="185">
        <f t="shared" si="4"/>
        <v>8139.545386151184</v>
      </c>
      <c r="AE161" s="12"/>
      <c r="AF161" s="12"/>
      <c r="AG161" s="12"/>
      <c r="AH161" s="12"/>
    </row>
    <row r="162" spans="2:34" ht="15.75">
      <c r="B162" s="147">
        <v>679</v>
      </c>
      <c r="C162" s="147">
        <v>2325</v>
      </c>
      <c r="D162" s="148" t="s">
        <v>279</v>
      </c>
      <c r="E162" s="147">
        <v>79</v>
      </c>
      <c r="F162" s="149">
        <v>23692</v>
      </c>
      <c r="G162" s="147">
        <v>1</v>
      </c>
      <c r="H162" s="150">
        <f>'Per-Ft'!$L$19</f>
        <v>508.3459499999999</v>
      </c>
      <c r="I162" s="130">
        <f>'Per-Ft'!$L$16</f>
        <v>254.17297500000132</v>
      </c>
      <c r="J162" s="151">
        <v>0</v>
      </c>
      <c r="K162" s="151">
        <v>0</v>
      </c>
      <c r="L162" s="131"/>
      <c r="M162" s="342">
        <f>'Per-Ft'!$J$18+('Rent-List-adu'!F162-23000)*'Per-Ft'!$H$19</f>
        <v>7634.084807763385</v>
      </c>
      <c r="N162" s="326">
        <f t="shared" si="5"/>
        <v>8396.603732763386</v>
      </c>
      <c r="P162" s="292"/>
      <c r="Q162" s="105"/>
      <c r="R162" s="107"/>
      <c r="S162" s="285"/>
      <c r="T162" s="593"/>
      <c r="U162" s="607"/>
      <c r="V162" s="463"/>
      <c r="W162" s="316"/>
      <c r="X162" s="316"/>
      <c r="Y162" s="108"/>
      <c r="Z162" s="108"/>
      <c r="AA162" s="108"/>
      <c r="AB162" s="108"/>
      <c r="AC162" s="108"/>
      <c r="AD162" s="132">
        <f t="shared" si="4"/>
        <v>8396.603732763386</v>
      </c>
      <c r="AE162" s="12"/>
      <c r="AF162" s="12"/>
      <c r="AG162" s="12"/>
      <c r="AH162" s="12"/>
    </row>
    <row r="163" spans="2:34" ht="15.75">
      <c r="B163" s="147">
        <v>693</v>
      </c>
      <c r="C163" s="147">
        <v>2309</v>
      </c>
      <c r="D163" s="148" t="s">
        <v>279</v>
      </c>
      <c r="E163" s="147">
        <v>85</v>
      </c>
      <c r="F163" s="149">
        <v>23740</v>
      </c>
      <c r="G163" s="147">
        <v>1</v>
      </c>
      <c r="H163" s="150">
        <v>0</v>
      </c>
      <c r="I163" s="130">
        <f>'Per-Ft'!$L$16</f>
        <v>254.17297500000132</v>
      </c>
      <c r="J163" s="151">
        <v>0</v>
      </c>
      <c r="K163" s="151">
        <v>0</v>
      </c>
      <c r="L163" s="131"/>
      <c r="M163" s="342">
        <f>'Per-Ft'!$J$18+('Rent-List-adu'!F163-23000)*'Per-Ft'!$H$19</f>
        <v>7635.343879012345</v>
      </c>
      <c r="N163" s="326">
        <f t="shared" si="5"/>
        <v>7889.516854012346</v>
      </c>
      <c r="P163" s="292"/>
      <c r="Q163" s="105"/>
      <c r="R163" s="107"/>
      <c r="S163" s="285"/>
      <c r="T163" s="593"/>
      <c r="U163" s="607"/>
      <c r="V163" s="463"/>
      <c r="W163" s="316"/>
      <c r="X163" s="316"/>
      <c r="Y163" s="108"/>
      <c r="Z163" s="108"/>
      <c r="AA163" s="108"/>
      <c r="AB163" s="108"/>
      <c r="AC163" s="108"/>
      <c r="AD163" s="132">
        <f t="shared" si="4"/>
        <v>7889.516854012346</v>
      </c>
      <c r="AE163" s="12"/>
      <c r="AF163" s="12"/>
      <c r="AG163" s="12"/>
      <c r="AH163" s="12"/>
    </row>
    <row r="164" spans="2:34" ht="15.75">
      <c r="B164" s="147">
        <v>674</v>
      </c>
      <c r="C164" s="147">
        <v>1801</v>
      </c>
      <c r="D164" s="148" t="s">
        <v>342</v>
      </c>
      <c r="E164" s="147">
        <v>76</v>
      </c>
      <c r="F164" s="149">
        <v>24083</v>
      </c>
      <c r="G164" s="147">
        <v>2</v>
      </c>
      <c r="H164" s="150">
        <f>'Per-Ft'!$L$19</f>
        <v>508.3459499999999</v>
      </c>
      <c r="I164" s="130">
        <f>'Per-Ft'!$L$16*0.84</f>
        <v>213.5052990000011</v>
      </c>
      <c r="J164" s="151">
        <v>0</v>
      </c>
      <c r="K164" s="151">
        <v>0</v>
      </c>
      <c r="L164" s="131"/>
      <c r="M164" s="342">
        <f>'Per-Ft'!$J$19+('Rent-List-adu'!F164-24000)*'Per-Ft'!$H$20</f>
        <v>7643.936954884377</v>
      </c>
      <c r="N164" s="326">
        <f t="shared" si="5"/>
        <v>8365.788203884378</v>
      </c>
      <c r="P164" s="292"/>
      <c r="Q164" s="105"/>
      <c r="R164" s="107"/>
      <c r="S164" s="285"/>
      <c r="T164" s="593"/>
      <c r="U164" s="607"/>
      <c r="V164" s="463"/>
      <c r="W164" s="316"/>
      <c r="X164" s="316"/>
      <c r="Y164" s="108"/>
      <c r="Z164" s="108"/>
      <c r="AA164" s="108"/>
      <c r="AB164" s="108"/>
      <c r="AC164" s="108"/>
      <c r="AD164" s="132">
        <f t="shared" si="4"/>
        <v>8365.788203884378</v>
      </c>
      <c r="AE164" s="12"/>
      <c r="AF164" s="12"/>
      <c r="AG164" s="12"/>
      <c r="AH164" s="12"/>
    </row>
    <row r="165" spans="2:34" ht="15.75">
      <c r="B165" s="147">
        <v>584</v>
      </c>
      <c r="C165" s="147">
        <v>2205</v>
      </c>
      <c r="D165" s="148" t="s">
        <v>153</v>
      </c>
      <c r="E165" s="147" t="s">
        <v>60</v>
      </c>
      <c r="F165" s="149">
        <v>24163</v>
      </c>
      <c r="G165" s="147">
        <v>1</v>
      </c>
      <c r="H165" s="150">
        <v>0</v>
      </c>
      <c r="I165" s="151">
        <v>0</v>
      </c>
      <c r="J165" s="151">
        <v>0</v>
      </c>
      <c r="K165" s="151">
        <v>0</v>
      </c>
      <c r="L165" s="131"/>
      <c r="M165" s="342">
        <f>'Per-Ft'!$J$19+('Rent-List-adu'!F165-24000)*'Per-Ft'!$H$20</f>
        <v>7645.6459733006</v>
      </c>
      <c r="N165" s="326">
        <f t="shared" si="5"/>
        <v>7645.6459733006</v>
      </c>
      <c r="P165" s="292"/>
      <c r="Q165" s="105"/>
      <c r="R165" s="107"/>
      <c r="S165" s="285"/>
      <c r="T165" s="593"/>
      <c r="U165" s="607"/>
      <c r="V165" s="463"/>
      <c r="W165" s="316"/>
      <c r="X165" s="316"/>
      <c r="Y165" s="108"/>
      <c r="Z165" s="108"/>
      <c r="AA165" s="108"/>
      <c r="AB165" s="108"/>
      <c r="AC165" s="108"/>
      <c r="AD165" s="132">
        <f t="shared" si="4"/>
        <v>7645.6459733006</v>
      </c>
      <c r="AE165" s="12"/>
      <c r="AF165" s="12"/>
      <c r="AG165" s="12"/>
      <c r="AH165" s="12"/>
    </row>
    <row r="166" spans="2:34" ht="15.75">
      <c r="B166" s="147">
        <v>618</v>
      </c>
      <c r="C166" s="147">
        <v>2302</v>
      </c>
      <c r="D166" s="148" t="s">
        <v>398</v>
      </c>
      <c r="E166" s="147">
        <v>24.75</v>
      </c>
      <c r="F166" s="149">
        <v>24417</v>
      </c>
      <c r="G166" s="147">
        <v>1</v>
      </c>
      <c r="H166" s="150">
        <f>'Per-Ft'!$L$19</f>
        <v>508.3459499999999</v>
      </c>
      <c r="I166" s="151">
        <v>0</v>
      </c>
      <c r="J166" s="151">
        <v>0</v>
      </c>
      <c r="K166" s="151">
        <v>0</v>
      </c>
      <c r="L166" s="131"/>
      <c r="M166" s="342">
        <f>'Per-Ft'!$J$19+('Rent-List-adu'!F166-24000)*'Per-Ft'!$H$20</f>
        <v>7651.0721067721115</v>
      </c>
      <c r="N166" s="326">
        <f t="shared" si="5"/>
        <v>8159.418056772111</v>
      </c>
      <c r="P166" s="292"/>
      <c r="Q166" s="105"/>
      <c r="R166" s="107"/>
      <c r="S166" s="285"/>
      <c r="T166" s="593"/>
      <c r="U166" s="607"/>
      <c r="V166" s="463"/>
      <c r="W166" s="316"/>
      <c r="X166" s="316"/>
      <c r="Y166" s="108"/>
      <c r="Z166" s="108"/>
      <c r="AA166" s="108"/>
      <c r="AB166" s="108"/>
      <c r="AC166" s="108"/>
      <c r="AD166" s="132">
        <f t="shared" si="4"/>
        <v>8159.418056772111</v>
      </c>
      <c r="AE166" s="12"/>
      <c r="AF166" s="12"/>
      <c r="AG166" s="12"/>
      <c r="AH166" s="12"/>
    </row>
    <row r="167" spans="2:34" ht="15.75">
      <c r="B167" s="147">
        <v>610</v>
      </c>
      <c r="C167" s="147">
        <v>2209</v>
      </c>
      <c r="D167" s="148" t="s">
        <v>398</v>
      </c>
      <c r="E167" s="147">
        <v>17</v>
      </c>
      <c r="F167" s="149">
        <v>24453</v>
      </c>
      <c r="G167" s="147">
        <v>1</v>
      </c>
      <c r="H167" s="150">
        <v>0</v>
      </c>
      <c r="I167" s="151">
        <v>0</v>
      </c>
      <c r="J167" s="151">
        <v>0</v>
      </c>
      <c r="K167" s="151">
        <v>0</v>
      </c>
      <c r="L167" s="131"/>
      <c r="M167" s="342">
        <f>'Per-Ft'!$J$19+('Rent-List-adu'!F167-24000)*'Per-Ft'!$H$20</f>
        <v>7651.841165059413</v>
      </c>
      <c r="N167" s="326">
        <f t="shared" si="5"/>
        <v>7651.841165059413</v>
      </c>
      <c r="P167" s="292"/>
      <c r="Q167" s="105"/>
      <c r="R167" s="107"/>
      <c r="S167" s="285"/>
      <c r="T167" s="593"/>
      <c r="U167" s="607"/>
      <c r="V167" s="463"/>
      <c r="W167" s="316"/>
      <c r="X167" s="316"/>
      <c r="Y167" s="108"/>
      <c r="Z167" s="108"/>
      <c r="AA167" s="108"/>
      <c r="AB167" s="108"/>
      <c r="AC167" s="108"/>
      <c r="AD167" s="132">
        <f t="shared" si="4"/>
        <v>7651.841165059413</v>
      </c>
      <c r="AE167" s="12"/>
      <c r="AF167" s="12"/>
      <c r="AG167" s="12"/>
      <c r="AH167" s="12"/>
    </row>
    <row r="168" spans="2:34" ht="15.75">
      <c r="B168" s="147">
        <v>517</v>
      </c>
      <c r="C168" s="147">
        <v>2112</v>
      </c>
      <c r="D168" s="148" t="s">
        <v>294</v>
      </c>
      <c r="E168" s="147" t="s">
        <v>298</v>
      </c>
      <c r="F168" s="163">
        <v>25091</v>
      </c>
      <c r="G168" s="147">
        <v>1</v>
      </c>
      <c r="H168" s="150">
        <v>0</v>
      </c>
      <c r="I168" s="151">
        <v>0</v>
      </c>
      <c r="J168" s="151">
        <v>0</v>
      </c>
      <c r="K168" s="151">
        <v>0</v>
      </c>
      <c r="L168" s="131"/>
      <c r="M168" s="342">
        <f>'Per-Ft'!$J$20+('Rent-List-adu'!F168-25000)*'Per-Ft'!$H$21</f>
        <v>7665.41415036143</v>
      </c>
      <c r="N168" s="326">
        <f t="shared" si="5"/>
        <v>7665.41415036143</v>
      </c>
      <c r="P168" s="292"/>
      <c r="Q168" s="105"/>
      <c r="R168" s="107"/>
      <c r="S168" s="285"/>
      <c r="T168" s="593"/>
      <c r="U168" s="607"/>
      <c r="V168" s="463"/>
      <c r="W168" s="316"/>
      <c r="X168" s="316"/>
      <c r="Y168" s="108"/>
      <c r="Z168" s="108"/>
      <c r="AA168" s="108"/>
      <c r="AB168" s="108"/>
      <c r="AC168" s="108"/>
      <c r="AD168" s="132">
        <f t="shared" si="4"/>
        <v>7665.41415036143</v>
      </c>
      <c r="AE168" s="12"/>
      <c r="AF168" s="12"/>
      <c r="AG168" s="12"/>
      <c r="AH168" s="12"/>
    </row>
    <row r="169" spans="1:34" ht="15.75">
      <c r="A169" s="192" t="s">
        <v>178</v>
      </c>
      <c r="B169" s="193">
        <v>669</v>
      </c>
      <c r="C169" s="193">
        <v>2326</v>
      </c>
      <c r="D169" s="194" t="s">
        <v>134</v>
      </c>
      <c r="E169" s="193">
        <v>68</v>
      </c>
      <c r="F169" s="308">
        <v>25571</v>
      </c>
      <c r="G169" s="193">
        <v>3</v>
      </c>
      <c r="H169" s="309">
        <v>0</v>
      </c>
      <c r="I169" s="310">
        <v>0</v>
      </c>
      <c r="J169" s="310">
        <v>0</v>
      </c>
      <c r="K169" s="310">
        <v>0</v>
      </c>
      <c r="L169" s="311"/>
      <c r="M169" s="546">
        <f>'Per-Ft'!$J$20+('Rent-List-adu'!F169-25000)*'Per-Ft'!$H$21</f>
        <v>7675.370573470454</v>
      </c>
      <c r="N169" s="326">
        <f t="shared" si="5"/>
        <v>7675.370573470454</v>
      </c>
      <c r="O169" s="195">
        <v>68</v>
      </c>
      <c r="P169" s="312">
        <v>11740</v>
      </c>
      <c r="Q169" s="196" t="s">
        <v>281</v>
      </c>
      <c r="R169" s="313">
        <v>1000</v>
      </c>
      <c r="S169" s="197" t="s">
        <v>7</v>
      </c>
      <c r="T169" s="314">
        <v>1100</v>
      </c>
      <c r="U169" s="337">
        <f>V169-Y169+Z169-AA169-X169-AB169-AC169</f>
        <v>5578.842900000001</v>
      </c>
      <c r="V169" s="400">
        <f>T169*$V$4</f>
        <v>12832.6</v>
      </c>
      <c r="W169" s="320">
        <v>137649</v>
      </c>
      <c r="X169" s="320">
        <v>1200</v>
      </c>
      <c r="Y169" s="198">
        <f>W169*$Y$4</f>
        <v>4129.47</v>
      </c>
      <c r="Z169" s="198">
        <f>W169*$Z$4</f>
        <v>2340.0330000000004</v>
      </c>
      <c r="AA169" s="198">
        <f>W169*$AA$4</f>
        <v>2202.384</v>
      </c>
      <c r="AB169" s="320">
        <f>W169*$AB$4</f>
        <v>412.947</v>
      </c>
      <c r="AC169" s="400">
        <f>V169*$AC$4</f>
        <v>1648.9891</v>
      </c>
      <c r="AD169" s="199">
        <f t="shared" si="4"/>
        <v>13254.213473470454</v>
      </c>
      <c r="AE169" s="12"/>
      <c r="AF169" s="12"/>
      <c r="AG169" s="12"/>
      <c r="AH169" s="12"/>
    </row>
    <row r="170" spans="2:34" ht="15.75">
      <c r="B170" s="147">
        <v>590</v>
      </c>
      <c r="C170" s="147">
        <v>2202</v>
      </c>
      <c r="D170" s="148" t="s">
        <v>398</v>
      </c>
      <c r="E170" s="147">
        <v>29</v>
      </c>
      <c r="F170" s="149">
        <v>25901</v>
      </c>
      <c r="G170" s="147">
        <v>1</v>
      </c>
      <c r="H170" s="150">
        <v>0</v>
      </c>
      <c r="I170" s="151">
        <v>0</v>
      </c>
      <c r="J170" s="130">
        <f>'Per-Ft'!$L$13</f>
        <v>254.1729750000004</v>
      </c>
      <c r="K170" s="151">
        <v>0</v>
      </c>
      <c r="L170" s="131"/>
      <c r="M170" s="342">
        <f>'Per-Ft'!$J$20+('Rent-List-adu'!F170-25000)*'Per-Ft'!$H$21</f>
        <v>7682.215614357908</v>
      </c>
      <c r="N170" s="326">
        <f t="shared" si="5"/>
        <v>7428.042639357907</v>
      </c>
      <c r="P170" s="292"/>
      <c r="Q170" s="105"/>
      <c r="R170" s="107"/>
      <c r="S170" s="285"/>
      <c r="T170" s="593"/>
      <c r="U170" s="607"/>
      <c r="V170" s="463"/>
      <c r="W170" s="316"/>
      <c r="X170" s="316"/>
      <c r="Y170" s="108"/>
      <c r="Z170" s="108"/>
      <c r="AA170" s="108"/>
      <c r="AB170" s="108"/>
      <c r="AC170" s="108"/>
      <c r="AD170" s="132">
        <f t="shared" si="4"/>
        <v>7428.042639357907</v>
      </c>
      <c r="AE170" s="12"/>
      <c r="AF170" s="12"/>
      <c r="AG170" s="12"/>
      <c r="AH170" s="12"/>
    </row>
    <row r="171" spans="2:34" ht="15.75">
      <c r="B171" s="147">
        <v>528</v>
      </c>
      <c r="C171" s="147">
        <v>1908</v>
      </c>
      <c r="D171" s="148" t="s">
        <v>294</v>
      </c>
      <c r="E171" s="147">
        <v>109</v>
      </c>
      <c r="F171" s="149">
        <v>26280</v>
      </c>
      <c r="G171" s="147">
        <v>1</v>
      </c>
      <c r="H171" s="150">
        <f>'Per-Ft'!$L$19</f>
        <v>508.3459499999999</v>
      </c>
      <c r="I171" s="151">
        <v>0</v>
      </c>
      <c r="J171" s="151">
        <v>0</v>
      </c>
      <c r="K171" s="151">
        <v>0</v>
      </c>
      <c r="L171" s="131"/>
      <c r="M171" s="342">
        <f>'Per-Ft'!$J$21+('Rent-List-adu'!F171-26000)*'Per-Ft'!$H$22</f>
        <v>7690.0195360105445</v>
      </c>
      <c r="N171" s="326">
        <f t="shared" si="5"/>
        <v>8198.365486010545</v>
      </c>
      <c r="P171" s="292"/>
      <c r="Q171" s="105"/>
      <c r="R171" s="107"/>
      <c r="S171" s="285"/>
      <c r="T171" s="593"/>
      <c r="U171" s="607"/>
      <c r="V171" s="463"/>
      <c r="W171" s="316"/>
      <c r="X171" s="316"/>
      <c r="Y171" s="108"/>
      <c r="Z171" s="108"/>
      <c r="AA171" s="108"/>
      <c r="AB171" s="108"/>
      <c r="AC171" s="108"/>
      <c r="AD171" s="132">
        <f t="shared" si="4"/>
        <v>8198.365486010545</v>
      </c>
      <c r="AE171" s="12"/>
      <c r="AF171" s="12"/>
      <c r="AG171" s="12"/>
      <c r="AH171" s="12"/>
    </row>
    <row r="172" spans="2:34" ht="15.75">
      <c r="B172" s="147">
        <v>552</v>
      </c>
      <c r="C172" s="147">
        <v>2123</v>
      </c>
      <c r="D172" s="148" t="s">
        <v>295</v>
      </c>
      <c r="E172" s="147">
        <v>119</v>
      </c>
      <c r="F172" s="149">
        <v>26540</v>
      </c>
      <c r="G172" s="147">
        <v>1</v>
      </c>
      <c r="H172" s="150">
        <v>0</v>
      </c>
      <c r="I172" s="151">
        <v>0</v>
      </c>
      <c r="J172" s="151">
        <v>0</v>
      </c>
      <c r="K172" s="151">
        <v>0</v>
      </c>
      <c r="L172" s="131"/>
      <c r="M172" s="342">
        <f>'Per-Ft'!$J$21+('Rent-List-adu'!F172-26000)*'Per-Ft'!$H$22</f>
        <v>7695.359201869344</v>
      </c>
      <c r="N172" s="326">
        <f t="shared" si="5"/>
        <v>7695.359201869344</v>
      </c>
      <c r="P172" s="292"/>
      <c r="Q172" s="105"/>
      <c r="R172" s="107"/>
      <c r="S172" s="285"/>
      <c r="T172" s="593"/>
      <c r="U172" s="607"/>
      <c r="V172" s="463"/>
      <c r="W172" s="316"/>
      <c r="X172" s="316"/>
      <c r="Y172" s="108"/>
      <c r="Z172" s="108"/>
      <c r="AA172" s="108"/>
      <c r="AB172" s="108"/>
      <c r="AC172" s="108"/>
      <c r="AD172" s="132">
        <f t="shared" si="4"/>
        <v>7695.359201869344</v>
      </c>
      <c r="AE172" s="12"/>
      <c r="AF172" s="12"/>
      <c r="AG172" s="12"/>
      <c r="AH172" s="12"/>
    </row>
    <row r="173" spans="2:34" ht="15.75">
      <c r="B173" s="147">
        <v>630</v>
      </c>
      <c r="C173" s="147">
        <v>1900</v>
      </c>
      <c r="D173" s="148" t="s">
        <v>164</v>
      </c>
      <c r="E173" s="147">
        <v>40</v>
      </c>
      <c r="F173" s="149">
        <v>26732</v>
      </c>
      <c r="G173" s="147">
        <v>1</v>
      </c>
      <c r="H173" s="150">
        <v>0</v>
      </c>
      <c r="I173" s="151">
        <v>0</v>
      </c>
      <c r="J173" s="151">
        <v>0</v>
      </c>
      <c r="K173" s="151">
        <v>0</v>
      </c>
      <c r="L173" s="131"/>
      <c r="M173" s="342">
        <f>'Per-Ft'!$J$21+('Rent-List-adu'!F173-26000)*'Per-Ft'!$H$22</f>
        <v>7699.302339734305</v>
      </c>
      <c r="N173" s="326">
        <f t="shared" si="5"/>
        <v>7699.302339734305</v>
      </c>
      <c r="P173" s="292"/>
      <c r="Q173" s="105"/>
      <c r="R173" s="107"/>
      <c r="S173" s="285"/>
      <c r="T173" s="593"/>
      <c r="U173" s="607"/>
      <c r="V173" s="463"/>
      <c r="W173" s="316"/>
      <c r="X173" s="316"/>
      <c r="Y173" s="108"/>
      <c r="Z173" s="108"/>
      <c r="AA173" s="108"/>
      <c r="AB173" s="108"/>
      <c r="AC173" s="108"/>
      <c r="AD173" s="132">
        <f t="shared" si="4"/>
        <v>7699.302339734305</v>
      </c>
      <c r="AE173" s="12"/>
      <c r="AF173" s="12"/>
      <c r="AG173" s="12"/>
      <c r="AH173" s="12"/>
    </row>
    <row r="174" spans="2:34" ht="15.75">
      <c r="B174" s="147">
        <v>525</v>
      </c>
      <c r="C174" s="147">
        <v>2002</v>
      </c>
      <c r="D174" s="148" t="s">
        <v>294</v>
      </c>
      <c r="E174" s="147">
        <v>106</v>
      </c>
      <c r="F174" s="149">
        <v>27000</v>
      </c>
      <c r="G174" s="147">
        <v>1</v>
      </c>
      <c r="H174" s="150">
        <f>'Per-Ft'!$L$19</f>
        <v>508.3459499999999</v>
      </c>
      <c r="I174" s="151">
        <v>0</v>
      </c>
      <c r="J174" s="151">
        <v>0</v>
      </c>
      <c r="K174" s="151">
        <v>0</v>
      </c>
      <c r="L174" s="131"/>
      <c r="M174" s="342">
        <f>'Per-Ft'!$J$22+('Rent-List-adu'!F174-27000)*'Per-Ft'!$H$23</f>
        <v>7704.806303004145</v>
      </c>
      <c r="N174" s="326">
        <f t="shared" si="5"/>
        <v>8213.152253004144</v>
      </c>
      <c r="P174" s="292"/>
      <c r="Q174" s="105"/>
      <c r="R174" s="107"/>
      <c r="S174" s="285"/>
      <c r="T174" s="593"/>
      <c r="U174" s="607"/>
      <c r="V174" s="463"/>
      <c r="W174" s="316"/>
      <c r="X174" s="316"/>
      <c r="Y174" s="108"/>
      <c r="Z174" s="108"/>
      <c r="AA174" s="108"/>
      <c r="AB174" s="108"/>
      <c r="AC174" s="108"/>
      <c r="AD174" s="132">
        <f t="shared" si="4"/>
        <v>8213.152253004144</v>
      </c>
      <c r="AE174" s="12"/>
      <c r="AF174" s="12"/>
      <c r="AG174" s="12"/>
      <c r="AH174" s="12"/>
    </row>
    <row r="175" spans="2:34" ht="15.75">
      <c r="B175" s="147">
        <v>637</v>
      </c>
      <c r="C175" s="147">
        <v>2203</v>
      </c>
      <c r="D175" s="148" t="s">
        <v>180</v>
      </c>
      <c r="E175" s="147">
        <v>48</v>
      </c>
      <c r="F175" s="149">
        <v>27360</v>
      </c>
      <c r="G175" s="147">
        <v>1</v>
      </c>
      <c r="H175" s="150">
        <v>0</v>
      </c>
      <c r="I175" s="130">
        <f>'Per-Ft'!$L$16*0.36</f>
        <v>91.50227100000048</v>
      </c>
      <c r="J175" s="130">
        <f>'Per-Ft'!$L$13</f>
        <v>254.1729750000004</v>
      </c>
      <c r="K175" s="151">
        <v>0</v>
      </c>
      <c r="L175" s="131"/>
      <c r="M175" s="342">
        <f>'Per-Ft'!$J$22+('Rent-List-adu'!F175-27000)*'Per-Ft'!$H$23</f>
        <v>7712.126484684145</v>
      </c>
      <c r="N175" s="326">
        <f t="shared" si="5"/>
        <v>7549.455780684145</v>
      </c>
      <c r="P175" s="292"/>
      <c r="Q175" s="105"/>
      <c r="R175" s="107"/>
      <c r="S175" s="285"/>
      <c r="T175" s="593"/>
      <c r="U175" s="607"/>
      <c r="V175" s="463"/>
      <c r="W175" s="316"/>
      <c r="X175" s="316"/>
      <c r="Y175" s="108"/>
      <c r="Z175" s="108"/>
      <c r="AA175" s="108"/>
      <c r="AB175" s="108"/>
      <c r="AC175" s="108"/>
      <c r="AD175" s="132">
        <f t="shared" si="4"/>
        <v>7549.455780684145</v>
      </c>
      <c r="AE175" s="12"/>
      <c r="AF175" s="12"/>
      <c r="AG175" s="12"/>
      <c r="AH175" s="12"/>
    </row>
    <row r="176" spans="2:34" ht="15.75">
      <c r="B176" s="147">
        <v>521</v>
      </c>
      <c r="C176" s="147">
        <v>2107</v>
      </c>
      <c r="D176" s="148" t="s">
        <v>398</v>
      </c>
      <c r="E176" s="147">
        <v>93</v>
      </c>
      <c r="F176" s="149">
        <v>28164</v>
      </c>
      <c r="G176" s="147">
        <v>1</v>
      </c>
      <c r="H176" s="150">
        <f>'Per-Ft'!$L$19</f>
        <v>508.3459499999999</v>
      </c>
      <c r="I176" s="151">
        <v>0</v>
      </c>
      <c r="J176" s="151">
        <v>0</v>
      </c>
      <c r="K176" s="151">
        <v>0</v>
      </c>
      <c r="L176" s="131"/>
      <c r="M176" s="342">
        <f>'Per-Ft'!$J$23+('Rent-List-adu'!F176-28000)*'Per-Ft'!$H$24</f>
        <v>7728.441542941825</v>
      </c>
      <c r="N176" s="326">
        <f t="shared" si="5"/>
        <v>8236.787492941825</v>
      </c>
      <c r="P176" s="292"/>
      <c r="Q176" s="105"/>
      <c r="R176" s="107"/>
      <c r="S176" s="285"/>
      <c r="T176" s="593"/>
      <c r="U176" s="607"/>
      <c r="V176" s="463"/>
      <c r="W176" s="316"/>
      <c r="X176" s="316"/>
      <c r="Y176" s="108"/>
      <c r="Z176" s="108"/>
      <c r="AA176" s="108"/>
      <c r="AB176" s="108"/>
      <c r="AC176" s="108"/>
      <c r="AD176" s="132">
        <f t="shared" si="4"/>
        <v>8236.787492941825</v>
      </c>
      <c r="AE176" s="12"/>
      <c r="AF176" s="12"/>
      <c r="AG176" s="12"/>
      <c r="AH176" s="12"/>
    </row>
    <row r="177" spans="2:34" ht="15.75">
      <c r="B177" s="147">
        <v>526</v>
      </c>
      <c r="C177" s="147">
        <v>1916</v>
      </c>
      <c r="D177" s="148" t="s">
        <v>294</v>
      </c>
      <c r="E177" s="147">
        <v>107</v>
      </c>
      <c r="F177" s="149">
        <v>28961</v>
      </c>
      <c r="G177" s="147">
        <v>1</v>
      </c>
      <c r="H177" s="150">
        <f>'Per-Ft'!$L$19</f>
        <v>508.3459499999999</v>
      </c>
      <c r="I177" s="151">
        <v>0</v>
      </c>
      <c r="J177" s="151">
        <v>0</v>
      </c>
      <c r="K177" s="151">
        <v>0</v>
      </c>
      <c r="L177" s="131"/>
      <c r="M177" s="342">
        <f>'Per-Ft'!$J$23+('Rent-List-adu'!F177-28000)*'Per-Ft'!$H$24</f>
        <v>7744.485551138965</v>
      </c>
      <c r="N177" s="326">
        <f t="shared" si="5"/>
        <v>8252.831501138964</v>
      </c>
      <c r="P177" s="292"/>
      <c r="Q177" s="105"/>
      <c r="R177" s="107"/>
      <c r="S177" s="285"/>
      <c r="T177" s="593"/>
      <c r="U177" s="607"/>
      <c r="V177" s="463"/>
      <c r="W177" s="316"/>
      <c r="X177" s="316"/>
      <c r="Y177" s="108"/>
      <c r="Z177" s="108"/>
      <c r="AA177" s="108"/>
      <c r="AB177" s="108"/>
      <c r="AC177" s="108"/>
      <c r="AD177" s="132">
        <f t="shared" si="4"/>
        <v>8252.831501138964</v>
      </c>
      <c r="AE177" s="12"/>
      <c r="AF177" s="12"/>
      <c r="AG177" s="12"/>
      <c r="AH177" s="12"/>
    </row>
    <row r="178" spans="2:34" ht="15.75">
      <c r="B178" s="147">
        <v>549</v>
      </c>
      <c r="C178" s="147">
        <v>2110</v>
      </c>
      <c r="D178" s="148" t="s">
        <v>68</v>
      </c>
      <c r="E178" s="147">
        <v>134</v>
      </c>
      <c r="F178" s="149">
        <v>29270</v>
      </c>
      <c r="G178" s="147">
        <v>2</v>
      </c>
      <c r="H178" s="150">
        <v>0</v>
      </c>
      <c r="I178" s="151">
        <v>0</v>
      </c>
      <c r="J178" s="130">
        <f>'Per-Ft'!$L$13</f>
        <v>254.1729750000004</v>
      </c>
      <c r="K178" s="151">
        <v>0</v>
      </c>
      <c r="L178" s="131"/>
      <c r="M178" s="342">
        <f>'Per-Ft'!$J$24+('Rent-List-adu'!F178-29000)*'Per-Ft'!$H$25</f>
        <v>7750.650425145319</v>
      </c>
      <c r="N178" s="326">
        <f t="shared" si="5"/>
        <v>7496.4774501453185</v>
      </c>
      <c r="P178" s="292"/>
      <c r="Q178" s="105"/>
      <c r="R178" s="107"/>
      <c r="S178" s="285"/>
      <c r="T178" s="593"/>
      <c r="U178" s="607"/>
      <c r="V178" s="463"/>
      <c r="W178" s="316"/>
      <c r="X178" s="316"/>
      <c r="Y178" s="108"/>
      <c r="Z178" s="108"/>
      <c r="AA178" s="108"/>
      <c r="AB178" s="108"/>
      <c r="AC178" s="108"/>
      <c r="AD178" s="132">
        <f t="shared" si="4"/>
        <v>7496.4774501453185</v>
      </c>
      <c r="AE178" s="12"/>
      <c r="AF178" s="12"/>
      <c r="AG178" s="12"/>
      <c r="AH178" s="12"/>
    </row>
    <row r="179" spans="2:34" ht="15.75">
      <c r="B179" s="147">
        <v>628</v>
      </c>
      <c r="C179" s="147">
        <v>2201</v>
      </c>
      <c r="D179" s="148" t="s">
        <v>68</v>
      </c>
      <c r="E179" s="147">
        <v>43</v>
      </c>
      <c r="F179" s="149">
        <v>29910</v>
      </c>
      <c r="G179" s="569">
        <v>1</v>
      </c>
      <c r="H179" s="150">
        <v>0</v>
      </c>
      <c r="I179" s="151">
        <v>0</v>
      </c>
      <c r="J179" s="130">
        <f>'Per-Ft'!$L$13</f>
        <v>254.1729750000004</v>
      </c>
      <c r="K179" s="151">
        <v>0</v>
      </c>
      <c r="L179" s="131"/>
      <c r="M179" s="342">
        <f>'Per-Ft'!$J$24+('Rent-List-adu'!F179-29000)*'Per-Ft'!$H$25</f>
        <v>7763.402506973287</v>
      </c>
      <c r="N179" s="326">
        <f t="shared" si="5"/>
        <v>7509.229531973287</v>
      </c>
      <c r="P179" s="292"/>
      <c r="Q179" s="105"/>
      <c r="R179" s="107"/>
      <c r="S179" s="285"/>
      <c r="T179" s="593"/>
      <c r="U179" s="607"/>
      <c r="V179" s="463"/>
      <c r="W179" s="316"/>
      <c r="X179" s="316"/>
      <c r="Y179" s="108"/>
      <c r="Z179" s="108"/>
      <c r="AA179" s="108"/>
      <c r="AB179" s="108"/>
      <c r="AC179" s="108"/>
      <c r="AD179" s="132">
        <f t="shared" si="4"/>
        <v>7509.229531973287</v>
      </c>
      <c r="AE179" s="12"/>
      <c r="AF179" s="12"/>
      <c r="AG179" s="12"/>
      <c r="AH179" s="12"/>
    </row>
    <row r="180" spans="2:34" ht="15.75">
      <c r="B180" s="147">
        <v>601</v>
      </c>
      <c r="C180" s="147">
        <v>2215</v>
      </c>
      <c r="D180" s="148" t="s">
        <v>55</v>
      </c>
      <c r="E180" s="147" t="s">
        <v>8</v>
      </c>
      <c r="F180" s="149">
        <v>30000</v>
      </c>
      <c r="G180" s="147">
        <v>2</v>
      </c>
      <c r="H180" s="150">
        <v>0</v>
      </c>
      <c r="I180" s="151">
        <v>0</v>
      </c>
      <c r="J180" s="130">
        <f>'Per-Ft'!$L$13</f>
        <v>254.1729750000004</v>
      </c>
      <c r="K180" s="151">
        <v>0</v>
      </c>
      <c r="L180" s="131"/>
      <c r="M180" s="342">
        <f>'Per-Ft'!$J$25+('Rent-List-adu'!F180-30000)*'Per-Ft'!$H$26</f>
        <v>7765.195768480345</v>
      </c>
      <c r="N180" s="326">
        <f t="shared" si="5"/>
        <v>7511.022793480344</v>
      </c>
      <c r="P180" s="292"/>
      <c r="Q180" s="105"/>
      <c r="R180" s="107"/>
      <c r="S180" s="285"/>
      <c r="T180" s="593"/>
      <c r="U180" s="607"/>
      <c r="V180" s="463"/>
      <c r="W180" s="316"/>
      <c r="X180" s="316"/>
      <c r="Y180" s="108"/>
      <c r="Z180" s="108"/>
      <c r="AA180" s="108"/>
      <c r="AB180" s="108"/>
      <c r="AC180" s="108"/>
      <c r="AD180" s="132">
        <f t="shared" si="4"/>
        <v>7511.022793480344</v>
      </c>
      <c r="AE180" s="12"/>
      <c r="AF180" s="12"/>
      <c r="AG180" s="12"/>
      <c r="AH180" s="12"/>
    </row>
    <row r="181" spans="2:34" ht="15.75">
      <c r="B181" s="147">
        <v>680</v>
      </c>
      <c r="C181" s="147">
        <v>2321</v>
      </c>
      <c r="D181" s="148" t="s">
        <v>279</v>
      </c>
      <c r="E181" s="147">
        <v>80</v>
      </c>
      <c r="F181" s="149">
        <v>30240</v>
      </c>
      <c r="G181" s="147">
        <v>1</v>
      </c>
      <c r="H181" s="150">
        <f>'Per-Ft'!$L$19</f>
        <v>508.3459499999999</v>
      </c>
      <c r="I181" s="130">
        <f>'Per-Ft'!$L$16</f>
        <v>254.17297500000132</v>
      </c>
      <c r="J181" s="151">
        <v>0</v>
      </c>
      <c r="K181" s="151">
        <v>0</v>
      </c>
      <c r="L181" s="131"/>
      <c r="M181" s="342">
        <f>'Per-Ft'!$J$25+('Rent-List-adu'!F181-30000)*'Per-Ft'!$H$26</f>
        <v>7765.195768480345</v>
      </c>
      <c r="N181" s="326">
        <f t="shared" si="5"/>
        <v>8527.714693480346</v>
      </c>
      <c r="P181" s="292"/>
      <c r="Q181" s="105"/>
      <c r="R181" s="107"/>
      <c r="S181" s="285"/>
      <c r="T181" s="593"/>
      <c r="U181" s="607"/>
      <c r="V181" s="463"/>
      <c r="W181" s="316"/>
      <c r="X181" s="316"/>
      <c r="Y181" s="108"/>
      <c r="Z181" s="108"/>
      <c r="AA181" s="108"/>
      <c r="AB181" s="108"/>
      <c r="AC181" s="108"/>
      <c r="AD181" s="132">
        <f t="shared" si="4"/>
        <v>8527.714693480346</v>
      </c>
      <c r="AE181" s="12"/>
      <c r="AF181" s="12"/>
      <c r="AG181" s="12"/>
      <c r="AH181" s="12"/>
    </row>
    <row r="182" spans="1:34" ht="15.75">
      <c r="A182" s="153"/>
      <c r="B182" s="147">
        <v>673</v>
      </c>
      <c r="C182" s="147">
        <v>1709</v>
      </c>
      <c r="D182" s="148" t="s">
        <v>342</v>
      </c>
      <c r="E182" s="147">
        <v>71</v>
      </c>
      <c r="F182" s="149">
        <v>30351</v>
      </c>
      <c r="G182" s="147">
        <v>1</v>
      </c>
      <c r="H182" s="150">
        <f>'Per-Ft'!$L$19</f>
        <v>508.3459499999999</v>
      </c>
      <c r="I182" s="151">
        <v>0</v>
      </c>
      <c r="J182" s="151">
        <v>0</v>
      </c>
      <c r="K182" s="151">
        <v>0</v>
      </c>
      <c r="L182" s="131"/>
      <c r="M182" s="342">
        <f>'Per-Ft'!$J$25+('Rent-List-adu'!F182-30000)*'Per-Ft'!$H$26</f>
        <v>7765.195768480345</v>
      </c>
      <c r="N182" s="326">
        <f t="shared" si="5"/>
        <v>8273.541718480345</v>
      </c>
      <c r="P182" s="292"/>
      <c r="Q182" s="105"/>
      <c r="R182" s="107"/>
      <c r="S182" s="285"/>
      <c r="T182" s="593"/>
      <c r="U182" s="607"/>
      <c r="V182" s="463"/>
      <c r="W182" s="316"/>
      <c r="X182" s="316"/>
      <c r="Y182" s="108"/>
      <c r="Z182" s="108"/>
      <c r="AA182" s="108"/>
      <c r="AB182" s="108"/>
      <c r="AC182" s="108"/>
      <c r="AD182" s="132">
        <f t="shared" si="4"/>
        <v>8273.541718480345</v>
      </c>
      <c r="AE182" s="12"/>
      <c r="AF182" s="12"/>
      <c r="AG182" s="12"/>
      <c r="AH182" s="12"/>
    </row>
    <row r="183" spans="1:34" ht="15.75">
      <c r="A183" s="165" t="s">
        <v>27</v>
      </c>
      <c r="B183" s="166">
        <v>620</v>
      </c>
      <c r="C183" s="166">
        <v>2007</v>
      </c>
      <c r="D183" s="167" t="s">
        <v>164</v>
      </c>
      <c r="E183" s="166">
        <v>24</v>
      </c>
      <c r="F183" s="168">
        <v>30476</v>
      </c>
      <c r="G183" s="166">
        <v>3</v>
      </c>
      <c r="H183" s="169">
        <f>'Per-Ft'!$L$19</f>
        <v>508.3459499999999</v>
      </c>
      <c r="I183" s="170">
        <v>0</v>
      </c>
      <c r="J183" s="170">
        <v>0</v>
      </c>
      <c r="K183" s="170">
        <v>0</v>
      </c>
      <c r="L183" s="171"/>
      <c r="M183" s="536">
        <f>'Per-Ft'!$J$25+('Rent-List-adu'!F183-30000)*'Per-Ft'!$H$26</f>
        <v>7765.195768480345</v>
      </c>
      <c r="N183" s="326">
        <f t="shared" si="5"/>
        <v>8273.541718480345</v>
      </c>
      <c r="O183" s="181"/>
      <c r="P183" s="295"/>
      <c r="Q183" s="180"/>
      <c r="R183" s="182"/>
      <c r="S183" s="287"/>
      <c r="T183" s="184"/>
      <c r="U183" s="183"/>
      <c r="V183" s="397"/>
      <c r="W183" s="318"/>
      <c r="X183" s="318"/>
      <c r="Y183" s="183"/>
      <c r="Z183" s="183"/>
      <c r="AA183" s="183"/>
      <c r="AB183" s="183"/>
      <c r="AC183" s="183"/>
      <c r="AD183" s="185"/>
      <c r="AE183" s="12"/>
      <c r="AF183" s="12"/>
      <c r="AG183" s="12"/>
      <c r="AH183" s="12"/>
    </row>
    <row r="184" spans="1:34" ht="15.75">
      <c r="A184" s="135" t="s">
        <v>144</v>
      </c>
      <c r="B184" s="136">
        <v>631</v>
      </c>
      <c r="C184" s="136">
        <v>1816</v>
      </c>
      <c r="D184" s="137" t="s">
        <v>164</v>
      </c>
      <c r="E184" s="136">
        <v>45</v>
      </c>
      <c r="F184" s="138">
        <v>30652</v>
      </c>
      <c r="G184" s="568">
        <v>1</v>
      </c>
      <c r="H184" s="139">
        <v>0</v>
      </c>
      <c r="I184" s="140">
        <v>0</v>
      </c>
      <c r="J184" s="140">
        <v>0</v>
      </c>
      <c r="K184" s="140">
        <v>0</v>
      </c>
      <c r="L184" s="141"/>
      <c r="M184" s="537">
        <f>'Per-Ft'!$J$25+('Rent-List-adu'!F184-30000)*'Per-Ft'!$H$26</f>
        <v>7765.195768480345</v>
      </c>
      <c r="N184" s="326">
        <f t="shared" si="5"/>
        <v>7765.195768480345</v>
      </c>
      <c r="O184" s="142">
        <v>45</v>
      </c>
      <c r="P184" s="307">
        <v>12098</v>
      </c>
      <c r="Q184" s="143" t="s">
        <v>53</v>
      </c>
      <c r="R184" s="144">
        <v>990</v>
      </c>
      <c r="S184" s="154" t="s">
        <v>331</v>
      </c>
      <c r="T184" s="145">
        <v>975</v>
      </c>
      <c r="U184" s="155">
        <f>V184-Y184+Z184-AA184-AB184-AC184</f>
        <v>5762.602024999999</v>
      </c>
      <c r="V184" s="395">
        <f>T184*$V$4</f>
        <v>11374.35</v>
      </c>
      <c r="W184" s="317">
        <v>129692</v>
      </c>
      <c r="X184" s="317"/>
      <c r="Y184" s="146">
        <f>W184*$Y$4</f>
        <v>3890.7599999999998</v>
      </c>
      <c r="Z184" s="146">
        <f>W184*$Z$4</f>
        <v>2204.764</v>
      </c>
      <c r="AA184" s="146">
        <f>W184*$AA$4</f>
        <v>2075.072</v>
      </c>
      <c r="AB184" s="317">
        <f>W184*$AB$4</f>
        <v>389.076</v>
      </c>
      <c r="AC184" s="395">
        <f>V184*$AC$4</f>
        <v>1461.603975</v>
      </c>
      <c r="AD184" s="156">
        <f>N184+U184</f>
        <v>13527.797793480344</v>
      </c>
      <c r="AE184" s="12"/>
      <c r="AF184" s="12"/>
      <c r="AG184" s="12"/>
      <c r="AH184" s="12"/>
    </row>
    <row r="185" spans="2:34" ht="15.75">
      <c r="B185" s="147">
        <v>588</v>
      </c>
      <c r="C185" s="147">
        <v>2210</v>
      </c>
      <c r="D185" s="148" t="s">
        <v>398</v>
      </c>
      <c r="E185" s="147">
        <v>27</v>
      </c>
      <c r="F185" s="149">
        <v>31686</v>
      </c>
      <c r="G185" s="147">
        <v>1</v>
      </c>
      <c r="H185" s="150">
        <v>0</v>
      </c>
      <c r="I185" s="151">
        <v>0</v>
      </c>
      <c r="J185" s="151">
        <v>0</v>
      </c>
      <c r="K185" s="151">
        <v>0</v>
      </c>
      <c r="L185" s="131"/>
      <c r="M185" s="342">
        <f>'Per-Ft'!$J$26+('Rent-List-adu'!F185-31000)*'Per-Ft'!$H$27</f>
        <v>7765.195768480345</v>
      </c>
      <c r="N185" s="326">
        <f t="shared" si="5"/>
        <v>7765.195768480345</v>
      </c>
      <c r="P185" s="292"/>
      <c r="Q185" s="105"/>
      <c r="R185" s="107"/>
      <c r="S185" s="285"/>
      <c r="T185" s="593"/>
      <c r="U185" s="607"/>
      <c r="V185" s="463"/>
      <c r="W185" s="316"/>
      <c r="X185" s="316"/>
      <c r="Y185" s="108"/>
      <c r="Z185" s="108"/>
      <c r="AA185" s="108"/>
      <c r="AB185" s="108"/>
      <c r="AC185" s="108"/>
      <c r="AD185" s="132">
        <f>N185+U185</f>
        <v>7765.195768480345</v>
      </c>
      <c r="AE185" s="12"/>
      <c r="AF185" s="12"/>
      <c r="AG185" s="12"/>
      <c r="AH185" s="12"/>
    </row>
    <row r="186" spans="2:34" ht="15.75">
      <c r="B186" s="164">
        <v>663</v>
      </c>
      <c r="C186" s="164">
        <v>2324</v>
      </c>
      <c r="D186" s="175" t="s">
        <v>87</v>
      </c>
      <c r="E186" s="164">
        <v>74</v>
      </c>
      <c r="F186" s="163">
        <v>32500</v>
      </c>
      <c r="G186" s="164">
        <v>2</v>
      </c>
      <c r="H186" s="189">
        <v>0</v>
      </c>
      <c r="I186" s="130">
        <f>'Per-Ft'!$L$16</f>
        <v>254.17297500000132</v>
      </c>
      <c r="J186" s="176">
        <v>0</v>
      </c>
      <c r="K186" s="176">
        <v>0</v>
      </c>
      <c r="L186" s="177"/>
      <c r="M186" s="342">
        <f>'Per-Ft'!$J$27+('Rent-List-adu'!F186-32000)*'Per-Ft'!$H$28</f>
        <v>7765.195768480345</v>
      </c>
      <c r="N186" s="326">
        <f t="shared" si="5"/>
        <v>8019.368743480346</v>
      </c>
      <c r="P186" s="292"/>
      <c r="Q186" s="105"/>
      <c r="R186" s="107"/>
      <c r="S186" s="285"/>
      <c r="T186" s="593"/>
      <c r="U186" s="607"/>
      <c r="V186" s="463"/>
      <c r="W186" s="316"/>
      <c r="X186" s="316"/>
      <c r="Y186" s="108"/>
      <c r="Z186" s="108"/>
      <c r="AA186" s="108"/>
      <c r="AB186" s="108"/>
      <c r="AC186" s="108"/>
      <c r="AD186" s="132">
        <f>N186+U186</f>
        <v>8019.368743480346</v>
      </c>
      <c r="AE186" s="12"/>
      <c r="AF186" s="12"/>
      <c r="AG186" s="12"/>
      <c r="AH186" s="12"/>
    </row>
    <row r="187" spans="2:34" ht="15.75">
      <c r="B187" s="147">
        <v>612</v>
      </c>
      <c r="C187" s="147">
        <v>2217</v>
      </c>
      <c r="D187" s="148" t="s">
        <v>398</v>
      </c>
      <c r="E187" s="147">
        <v>21</v>
      </c>
      <c r="F187" s="149">
        <v>34200</v>
      </c>
      <c r="G187" s="147">
        <v>1</v>
      </c>
      <c r="H187" s="150">
        <v>0</v>
      </c>
      <c r="I187" s="151">
        <v>0</v>
      </c>
      <c r="J187" s="151">
        <v>0</v>
      </c>
      <c r="K187" s="151">
        <v>0</v>
      </c>
      <c r="L187" s="131"/>
      <c r="M187" s="342">
        <f>'Per-Ft'!$J$29+('Rent-List-adu'!F187-34000)*'Per-Ft'!$H$30</f>
        <v>7765.195768480345</v>
      </c>
      <c r="N187" s="326">
        <f t="shared" si="5"/>
        <v>7765.195768480345</v>
      </c>
      <c r="P187" s="292"/>
      <c r="Q187" s="105"/>
      <c r="R187" s="107"/>
      <c r="S187" s="285"/>
      <c r="T187" s="593"/>
      <c r="U187" s="607"/>
      <c r="V187" s="463"/>
      <c r="W187" s="316"/>
      <c r="X187" s="316"/>
      <c r="Y187" s="108"/>
      <c r="Z187" s="108"/>
      <c r="AA187" s="108"/>
      <c r="AB187" s="108"/>
      <c r="AC187" s="108"/>
      <c r="AD187" s="132">
        <f>N187+U187</f>
        <v>7765.195768480345</v>
      </c>
      <c r="AE187" s="12"/>
      <c r="AF187" s="12"/>
      <c r="AG187" s="12"/>
      <c r="AH187" s="12"/>
    </row>
    <row r="188" spans="2:34" ht="15.75">
      <c r="B188" s="147">
        <v>518</v>
      </c>
      <c r="C188" s="147">
        <v>2108</v>
      </c>
      <c r="D188" s="148" t="s">
        <v>294</v>
      </c>
      <c r="E188" s="147" t="s">
        <v>36</v>
      </c>
      <c r="F188" s="149">
        <v>34848</v>
      </c>
      <c r="G188" s="147">
        <v>1</v>
      </c>
      <c r="H188" s="150">
        <f>'Per-Ft'!$L$19</f>
        <v>508.3459499999999</v>
      </c>
      <c r="I188" s="151">
        <v>0</v>
      </c>
      <c r="J188" s="151">
        <v>0</v>
      </c>
      <c r="K188" s="151">
        <v>0</v>
      </c>
      <c r="L188" s="131"/>
      <c r="M188" s="342">
        <f>'Per-Ft'!$J$29+('Rent-List-adu'!F188-34000)*'Per-Ft'!$H$30</f>
        <v>7765.195768480345</v>
      </c>
      <c r="N188" s="326">
        <f t="shared" si="5"/>
        <v>8273.541718480345</v>
      </c>
      <c r="P188" s="292"/>
      <c r="Q188" s="105"/>
      <c r="R188" s="107"/>
      <c r="S188" s="285"/>
      <c r="T188" s="593"/>
      <c r="U188" s="607"/>
      <c r="V188" s="463"/>
      <c r="W188" s="316"/>
      <c r="X188" s="316"/>
      <c r="Y188" s="108"/>
      <c r="Z188" s="108"/>
      <c r="AA188" s="108"/>
      <c r="AB188" s="108"/>
      <c r="AC188" s="108"/>
      <c r="AD188" s="132">
        <f>N188+U188</f>
        <v>8273.541718480345</v>
      </c>
      <c r="AE188" s="12"/>
      <c r="AF188" s="12"/>
      <c r="AG188" s="12"/>
      <c r="AH188" s="12"/>
    </row>
    <row r="189" spans="1:34" ht="15.75">
      <c r="A189" s="135" t="s">
        <v>51</v>
      </c>
      <c r="B189" s="136">
        <v>684</v>
      </c>
      <c r="C189" s="136">
        <v>1901</v>
      </c>
      <c r="D189" s="137" t="s">
        <v>164</v>
      </c>
      <c r="E189" s="136">
        <v>39</v>
      </c>
      <c r="F189" s="138">
        <v>35735</v>
      </c>
      <c r="G189" s="136">
        <v>3</v>
      </c>
      <c r="H189" s="139">
        <f>'Per-Ft'!$L$19</f>
        <v>508.3459499999999</v>
      </c>
      <c r="I189" s="140">
        <v>0</v>
      </c>
      <c r="J189" s="140">
        <v>0</v>
      </c>
      <c r="K189" s="140">
        <v>0</v>
      </c>
      <c r="L189" s="141"/>
      <c r="M189" s="537">
        <f>'Per-Ft'!$J$30+('Rent-List-adu'!F189-35000)*'Per-Ft'!$H$31</f>
        <v>7765.195768480345</v>
      </c>
      <c r="N189" s="326">
        <f t="shared" si="5"/>
        <v>8273.541718480345</v>
      </c>
      <c r="O189" s="142">
        <v>39</v>
      </c>
      <c r="P189" s="294">
        <v>5081</v>
      </c>
      <c r="Q189" s="143" t="s">
        <v>227</v>
      </c>
      <c r="R189" s="144">
        <v>750</v>
      </c>
      <c r="S189" s="154" t="s">
        <v>408</v>
      </c>
      <c r="T189" s="145">
        <v>800</v>
      </c>
      <c r="U189" s="155">
        <f>V189-Y189+Z189-AA189-AB189-AC189</f>
        <v>4841.375200000001</v>
      </c>
      <c r="V189" s="395">
        <f>T189*$V$4</f>
        <v>9332.800000000001</v>
      </c>
      <c r="W189" s="317">
        <v>102880</v>
      </c>
      <c r="X189" s="317"/>
      <c r="Y189" s="146">
        <f>W189*$Y$4</f>
        <v>3086.4</v>
      </c>
      <c r="Z189" s="146">
        <f>W189*$Z$4</f>
        <v>1748.96</v>
      </c>
      <c r="AA189" s="146">
        <f>W189*$AA$4</f>
        <v>1646.08</v>
      </c>
      <c r="AB189" s="317">
        <f>W189*$AB$4</f>
        <v>308.64</v>
      </c>
      <c r="AC189" s="395">
        <f>V189*$AC$4</f>
        <v>1199.2648000000002</v>
      </c>
      <c r="AD189" s="156">
        <v>11029.3106</v>
      </c>
      <c r="AE189" s="12"/>
      <c r="AF189" s="12"/>
      <c r="AG189" s="12"/>
      <c r="AH189" s="12"/>
    </row>
    <row r="190" spans="2:34" ht="15.75">
      <c r="B190" s="147">
        <v>582</v>
      </c>
      <c r="C190" s="147">
        <v>2003</v>
      </c>
      <c r="D190" s="148" t="s">
        <v>64</v>
      </c>
      <c r="E190" s="147">
        <v>31</v>
      </c>
      <c r="F190" s="149">
        <v>37235</v>
      </c>
      <c r="G190" s="147">
        <v>1</v>
      </c>
      <c r="H190" s="150">
        <v>0</v>
      </c>
      <c r="I190" s="151">
        <v>0</v>
      </c>
      <c r="J190" s="130">
        <v>0</v>
      </c>
      <c r="K190" s="130">
        <f>'Per-Ft'!$L$9</f>
        <v>508.34595000000263</v>
      </c>
      <c r="L190" s="131"/>
      <c r="M190" s="342">
        <f>'Per-Ft'!$J$32+('Rent-List-adu'!F190-37000)*'Per-Ft'!$H$33</f>
        <v>7765.195768480345</v>
      </c>
      <c r="N190" s="326">
        <f t="shared" si="5"/>
        <v>7256.849818480342</v>
      </c>
      <c r="P190" s="292"/>
      <c r="Q190" s="105"/>
      <c r="R190" s="107"/>
      <c r="S190" s="285"/>
      <c r="T190" s="593"/>
      <c r="U190" s="607"/>
      <c r="V190" s="463"/>
      <c r="W190" s="316"/>
      <c r="X190" s="316"/>
      <c r="Y190" s="108"/>
      <c r="Z190" s="108"/>
      <c r="AA190" s="108"/>
      <c r="AB190" s="108"/>
      <c r="AC190" s="108"/>
      <c r="AD190" s="132">
        <f>N190+U190</f>
        <v>7256.849818480342</v>
      </c>
      <c r="AE190" s="12"/>
      <c r="AF190" s="12"/>
      <c r="AG190" s="12"/>
      <c r="AH190" s="12"/>
    </row>
    <row r="191" spans="2:34" ht="15.75">
      <c r="B191" s="147">
        <v>587</v>
      </c>
      <c r="C191" s="147">
        <v>2215</v>
      </c>
      <c r="D191" s="148" t="s">
        <v>153</v>
      </c>
      <c r="E191" s="147">
        <v>26</v>
      </c>
      <c r="F191" s="149">
        <v>37675</v>
      </c>
      <c r="G191" s="147">
        <v>1</v>
      </c>
      <c r="H191" s="150">
        <v>0</v>
      </c>
      <c r="I191" s="151">
        <v>0</v>
      </c>
      <c r="J191" s="151">
        <v>0</v>
      </c>
      <c r="K191" s="151">
        <v>0</v>
      </c>
      <c r="L191" s="131"/>
      <c r="M191" s="342">
        <f>'Per-Ft'!$J$32+('Rent-List-adu'!F191-37000)*'Per-Ft'!$H$33</f>
        <v>7765.195768480345</v>
      </c>
      <c r="N191" s="326">
        <f t="shared" si="5"/>
        <v>7765.195768480345</v>
      </c>
      <c r="P191" s="292"/>
      <c r="Q191" s="105"/>
      <c r="R191" s="107"/>
      <c r="S191" s="285"/>
      <c r="T191" s="593"/>
      <c r="U191" s="607"/>
      <c r="V191" s="463"/>
      <c r="W191" s="316"/>
      <c r="X191" s="316"/>
      <c r="Y191" s="108"/>
      <c r="Z191" s="108"/>
      <c r="AA191" s="108"/>
      <c r="AB191" s="108"/>
      <c r="AC191" s="108"/>
      <c r="AD191" s="132">
        <f aca="true" t="shared" si="6" ref="AD191:AD198">N191+U191</f>
        <v>7765.195768480345</v>
      </c>
      <c r="AE191" s="12"/>
      <c r="AF191" s="12"/>
      <c r="AG191" s="12"/>
      <c r="AH191" s="12"/>
    </row>
    <row r="192" spans="2:34" ht="15.75">
      <c r="B192" s="147">
        <v>548</v>
      </c>
      <c r="C192" s="147">
        <v>1808</v>
      </c>
      <c r="D192" s="148" t="s">
        <v>64</v>
      </c>
      <c r="E192" s="147">
        <v>135</v>
      </c>
      <c r="F192" s="163">
        <v>39153.43</v>
      </c>
      <c r="G192" s="147">
        <v>2</v>
      </c>
      <c r="H192" s="150">
        <v>0</v>
      </c>
      <c r="I192" s="130">
        <f>'Per-Ft'!$L$16</f>
        <v>254.17297500000132</v>
      </c>
      <c r="J192" s="130">
        <v>0</v>
      </c>
      <c r="K192" s="130">
        <f>'Per-Ft'!$L$9</f>
        <v>508.34595000000263</v>
      </c>
      <c r="L192" s="131"/>
      <c r="M192" s="342">
        <f>'Per-Ft'!$J$34+('Rent-List-adu'!F192-39000)*'Per-Ft'!$H$35</f>
        <v>7765.195768480345</v>
      </c>
      <c r="N192" s="326">
        <f t="shared" si="5"/>
        <v>7511.022793480343</v>
      </c>
      <c r="P192" s="292"/>
      <c r="Q192" s="105"/>
      <c r="R192" s="107"/>
      <c r="S192" s="285"/>
      <c r="T192" s="593"/>
      <c r="U192" s="607"/>
      <c r="V192" s="463"/>
      <c r="W192" s="316"/>
      <c r="X192" s="316"/>
      <c r="Y192" s="108"/>
      <c r="Z192" s="108"/>
      <c r="AA192" s="108"/>
      <c r="AB192" s="108"/>
      <c r="AC192" s="108"/>
      <c r="AD192" s="132">
        <f t="shared" si="6"/>
        <v>7511.022793480343</v>
      </c>
      <c r="AE192" s="12"/>
      <c r="AF192" s="12"/>
      <c r="AG192" s="12"/>
      <c r="AH192" s="12"/>
    </row>
    <row r="193" spans="2:34" ht="15.75">
      <c r="B193" s="147">
        <v>579</v>
      </c>
      <c r="C193" s="147">
        <v>2010</v>
      </c>
      <c r="D193" s="148" t="s">
        <v>64</v>
      </c>
      <c r="E193" s="147">
        <v>125</v>
      </c>
      <c r="F193" s="149">
        <v>39275</v>
      </c>
      <c r="G193" s="147">
        <v>1</v>
      </c>
      <c r="H193" s="150">
        <v>0</v>
      </c>
      <c r="I193" s="151">
        <v>0</v>
      </c>
      <c r="J193" s="130">
        <f>'Per-Ft'!$L$13</f>
        <v>254.1729750000004</v>
      </c>
      <c r="K193" s="151">
        <v>0</v>
      </c>
      <c r="L193" s="131"/>
      <c r="M193" s="342">
        <f>'Per-Ft'!$J$34+('Rent-List-adu'!F193-39000)*'Per-Ft'!$H$35</f>
        <v>7765.195768480345</v>
      </c>
      <c r="N193" s="326">
        <f t="shared" si="5"/>
        <v>7511.022793480344</v>
      </c>
      <c r="P193" s="292"/>
      <c r="Q193" s="105"/>
      <c r="R193" s="107"/>
      <c r="S193" s="285"/>
      <c r="T193" s="593"/>
      <c r="U193" s="607"/>
      <c r="V193" s="463"/>
      <c r="W193" s="316"/>
      <c r="X193" s="316"/>
      <c r="Y193" s="108"/>
      <c r="Z193" s="108"/>
      <c r="AA193" s="108"/>
      <c r="AB193" s="108"/>
      <c r="AC193" s="108"/>
      <c r="AD193" s="132">
        <f t="shared" si="6"/>
        <v>7511.022793480344</v>
      </c>
      <c r="AE193" s="12"/>
      <c r="AF193" s="12"/>
      <c r="AG193" s="12"/>
      <c r="AH193" s="12"/>
    </row>
    <row r="194" spans="2:34" ht="15.75">
      <c r="B194" s="147">
        <v>621</v>
      </c>
      <c r="C194" s="147">
        <v>2005</v>
      </c>
      <c r="D194" s="148" t="s">
        <v>164</v>
      </c>
      <c r="E194" s="147">
        <v>37</v>
      </c>
      <c r="F194" s="149">
        <v>42370</v>
      </c>
      <c r="G194" s="147">
        <v>1</v>
      </c>
      <c r="H194" s="150">
        <f>'Per-Ft'!$L$19</f>
        <v>508.3459499999999</v>
      </c>
      <c r="I194" s="151">
        <v>0</v>
      </c>
      <c r="J194" s="151">
        <v>0</v>
      </c>
      <c r="K194" s="151">
        <v>0</v>
      </c>
      <c r="L194" s="131"/>
      <c r="M194" s="342">
        <f>'Per-Ft'!$J$37+('Rent-List-adu'!F194-42000)*'Per-Ft'!$H$38</f>
        <v>7765.195768480345</v>
      </c>
      <c r="N194" s="326">
        <f t="shared" si="5"/>
        <v>8273.541718480345</v>
      </c>
      <c r="P194" s="292"/>
      <c r="Q194" s="105"/>
      <c r="R194" s="107"/>
      <c r="S194" s="285"/>
      <c r="T194" s="593"/>
      <c r="U194" s="607"/>
      <c r="V194" s="463"/>
      <c r="W194" s="316"/>
      <c r="X194" s="316"/>
      <c r="Y194" s="108"/>
      <c r="Z194" s="108"/>
      <c r="AA194" s="108"/>
      <c r="AB194" s="108"/>
      <c r="AC194" s="108"/>
      <c r="AD194" s="132">
        <f t="shared" si="6"/>
        <v>8273.541718480345</v>
      </c>
      <c r="AE194" s="12"/>
      <c r="AF194" s="12"/>
      <c r="AG194" s="12"/>
      <c r="AH194" s="12"/>
    </row>
    <row r="195" spans="2:34" ht="15.75">
      <c r="B195" s="147">
        <v>524</v>
      </c>
      <c r="C195" s="147">
        <v>2008</v>
      </c>
      <c r="D195" s="148" t="s">
        <v>294</v>
      </c>
      <c r="E195" s="147" t="s">
        <v>403</v>
      </c>
      <c r="F195" s="149">
        <v>46160</v>
      </c>
      <c r="G195" s="147">
        <v>1</v>
      </c>
      <c r="H195" s="150">
        <f>'Per-Ft'!$L$19</f>
        <v>508.3459499999999</v>
      </c>
      <c r="I195" s="151">
        <v>0</v>
      </c>
      <c r="J195" s="151">
        <v>0</v>
      </c>
      <c r="K195" s="151">
        <v>0</v>
      </c>
      <c r="L195" s="131"/>
      <c r="M195" s="342">
        <f>'Per-Ft'!$J$41+('Rent-List-adu'!F195-46000)*'Per-Ft'!$H$42</f>
        <v>7765.195768480345</v>
      </c>
      <c r="N195" s="326">
        <f t="shared" si="5"/>
        <v>8273.541718480345</v>
      </c>
      <c r="P195" s="292"/>
      <c r="Q195" s="105"/>
      <c r="R195" s="107"/>
      <c r="S195" s="285"/>
      <c r="T195" s="593"/>
      <c r="U195" s="607"/>
      <c r="V195" s="463"/>
      <c r="W195" s="316"/>
      <c r="X195" s="316"/>
      <c r="Y195" s="108"/>
      <c r="Z195" s="108"/>
      <c r="AA195" s="108"/>
      <c r="AB195" s="108"/>
      <c r="AC195" s="108"/>
      <c r="AD195" s="132">
        <f t="shared" si="6"/>
        <v>8273.541718480345</v>
      </c>
      <c r="AE195" s="12"/>
      <c r="AF195" s="12"/>
      <c r="AG195" s="12"/>
      <c r="AH195" s="12"/>
    </row>
    <row r="196" spans="2:34" ht="15.75">
      <c r="B196" s="147">
        <v>605</v>
      </c>
      <c r="C196" s="147">
        <v>2227</v>
      </c>
      <c r="D196" s="148" t="s">
        <v>55</v>
      </c>
      <c r="E196" s="147">
        <v>12</v>
      </c>
      <c r="F196" s="163">
        <v>49090</v>
      </c>
      <c r="G196" s="147">
        <v>1</v>
      </c>
      <c r="H196" s="150">
        <f>'Per-Ft'!$L$19/2</f>
        <v>254.17297499999995</v>
      </c>
      <c r="I196" s="535">
        <v>0</v>
      </c>
      <c r="J196" s="130">
        <f>'Per-Ft'!$L$13</f>
        <v>254.1729750000004</v>
      </c>
      <c r="K196" s="151">
        <v>0</v>
      </c>
      <c r="L196" s="131"/>
      <c r="M196" s="342">
        <f>'Per-Ft'!$J$44+('Rent-List-adu'!F196-49000)*'Per-Ft'!$H$45</f>
        <v>7765.195768480345</v>
      </c>
      <c r="N196" s="326">
        <f t="shared" si="5"/>
        <v>7765.195768480345</v>
      </c>
      <c r="P196" s="292"/>
      <c r="Q196" s="108"/>
      <c r="R196" s="107"/>
      <c r="T196" s="593"/>
      <c r="U196" s="607"/>
      <c r="V196" s="463"/>
      <c r="W196" s="316"/>
      <c r="X196" s="316"/>
      <c r="Y196" s="108"/>
      <c r="Z196" s="108"/>
      <c r="AA196" s="108"/>
      <c r="AB196" s="108"/>
      <c r="AC196" s="108"/>
      <c r="AD196" s="132">
        <f t="shared" si="6"/>
        <v>7765.195768480345</v>
      </c>
      <c r="AE196" s="12"/>
      <c r="AF196" s="12"/>
      <c r="AG196" s="12"/>
      <c r="AH196" s="12"/>
    </row>
    <row r="197" spans="2:34" ht="15.75">
      <c r="B197" s="147">
        <v>586</v>
      </c>
      <c r="C197" s="147">
        <v>2216</v>
      </c>
      <c r="D197" s="148" t="s">
        <v>398</v>
      </c>
      <c r="E197" s="147">
        <v>25</v>
      </c>
      <c r="F197" s="149">
        <v>53328</v>
      </c>
      <c r="G197" s="147">
        <v>1</v>
      </c>
      <c r="H197" s="150">
        <v>0</v>
      </c>
      <c r="I197" s="151">
        <v>0</v>
      </c>
      <c r="J197" s="151">
        <v>0</v>
      </c>
      <c r="K197" s="151">
        <v>0</v>
      </c>
      <c r="L197" s="131"/>
      <c r="M197" s="342">
        <f>'Per-Ft'!$J$48+('Rent-List-adu'!F197-53000)*'Per-Ft'!$H$49</f>
        <v>7765.195768480345</v>
      </c>
      <c r="N197" s="326">
        <f t="shared" si="5"/>
        <v>7765.195768480345</v>
      </c>
      <c r="P197" s="292"/>
      <c r="Q197" s="108"/>
      <c r="R197" s="107"/>
      <c r="T197" s="593"/>
      <c r="U197" s="607"/>
      <c r="V197" s="463"/>
      <c r="W197" s="316"/>
      <c r="X197" s="316"/>
      <c r="Y197" s="108"/>
      <c r="Z197" s="108"/>
      <c r="AA197" s="108"/>
      <c r="AB197" s="108"/>
      <c r="AC197" s="108"/>
      <c r="AD197" s="132">
        <f t="shared" si="6"/>
        <v>7765.195768480345</v>
      </c>
      <c r="AE197" s="12"/>
      <c r="AF197" s="12"/>
      <c r="AG197" s="12"/>
      <c r="AH197" s="12"/>
    </row>
    <row r="198" spans="2:34" ht="15.75">
      <c r="B198" s="147">
        <v>622</v>
      </c>
      <c r="C198" s="147">
        <v>1905</v>
      </c>
      <c r="D198" s="148" t="s">
        <v>164</v>
      </c>
      <c r="E198" s="147">
        <v>38</v>
      </c>
      <c r="F198" s="149">
        <v>55696</v>
      </c>
      <c r="G198" s="147">
        <v>1</v>
      </c>
      <c r="H198" s="150">
        <f>'Per-Ft'!$L$19</f>
        <v>508.3459499999999</v>
      </c>
      <c r="I198" s="151">
        <v>0</v>
      </c>
      <c r="J198" s="151">
        <v>0</v>
      </c>
      <c r="K198" s="151">
        <v>0</v>
      </c>
      <c r="L198" s="131"/>
      <c r="M198" s="342">
        <f>'Per-Ft'!$J$50+('Rent-List-adu'!F198-55000)*'Per-Ft'!$H$51</f>
        <v>7765.195768480345</v>
      </c>
      <c r="N198" s="326">
        <f t="shared" si="5"/>
        <v>8273.541718480345</v>
      </c>
      <c r="P198" s="292"/>
      <c r="Q198" s="108"/>
      <c r="R198" s="107"/>
      <c r="T198" s="593"/>
      <c r="U198" s="607"/>
      <c r="V198" s="463"/>
      <c r="W198" s="316"/>
      <c r="X198" s="316"/>
      <c r="Y198" s="108"/>
      <c r="Z198" s="108"/>
      <c r="AA198" s="108"/>
      <c r="AB198" s="108"/>
      <c r="AC198" s="108"/>
      <c r="AD198" s="132">
        <f t="shared" si="6"/>
        <v>8273.541718480345</v>
      </c>
      <c r="AE198" s="12"/>
      <c r="AF198" s="12"/>
      <c r="AG198" s="12"/>
      <c r="AH198" s="12"/>
    </row>
    <row r="199" spans="6:34" ht="15.75">
      <c r="F199" s="420"/>
      <c r="T199" s="610"/>
      <c r="U199" s="608"/>
      <c r="AE199" s="12"/>
      <c r="AF199" s="12"/>
      <c r="AG199" s="12"/>
      <c r="AH199" s="12"/>
    </row>
    <row r="200" spans="2:34" ht="15.75">
      <c r="B200" s="191" t="s">
        <v>338</v>
      </c>
      <c r="D200" s="100"/>
      <c r="F200" s="100"/>
      <c r="G200" s="100"/>
      <c r="H200" s="103"/>
      <c r="I200" s="103"/>
      <c r="J200" s="103"/>
      <c r="K200" s="103"/>
      <c r="L200" s="103"/>
      <c r="M200" s="339"/>
      <c r="N200" s="191" t="s">
        <v>184</v>
      </c>
      <c r="P200" s="292"/>
      <c r="Q200" s="105"/>
      <c r="R200" s="107"/>
      <c r="S200" s="285"/>
      <c r="T200" s="593"/>
      <c r="U200" s="607"/>
      <c r="V200" s="463"/>
      <c r="W200" s="316"/>
      <c r="X200" s="316"/>
      <c r="Y200" s="108"/>
      <c r="Z200" s="108"/>
      <c r="AA200" s="108"/>
      <c r="AB200" s="108"/>
      <c r="AC200" s="108"/>
      <c r="AD200" s="132"/>
      <c r="AE200" s="12"/>
      <c r="AF200" s="12"/>
      <c r="AG200" s="12"/>
      <c r="AH200" s="12"/>
    </row>
    <row r="201" spans="1:34" ht="15.75">
      <c r="A201" s="12"/>
      <c r="B201" s="556" t="s">
        <v>402</v>
      </c>
      <c r="C201" s="164"/>
      <c r="D201" s="175"/>
      <c r="E201" s="164"/>
      <c r="F201" s="163"/>
      <c r="G201" s="164"/>
      <c r="H201" s="189"/>
      <c r="I201" s="176"/>
      <c r="J201" s="176"/>
      <c r="K201" s="176"/>
      <c r="L201" s="177"/>
      <c r="M201" s="342"/>
      <c r="N201" s="327"/>
      <c r="O201" s="201"/>
      <c r="P201" s="296"/>
      <c r="Q201" s="202"/>
      <c r="R201" s="4"/>
      <c r="S201" s="117"/>
      <c r="T201" s="593"/>
      <c r="U201" s="609"/>
      <c r="V201" s="398"/>
      <c r="W201" s="319"/>
      <c r="X201" s="319"/>
      <c r="Y201" s="204"/>
      <c r="Z201" s="204"/>
      <c r="AA201" s="204"/>
      <c r="AB201" s="319"/>
      <c r="AC201" s="398"/>
      <c r="AD201" s="205"/>
      <c r="AE201" s="12"/>
      <c r="AF201" s="12"/>
      <c r="AG201" s="12"/>
      <c r="AH201" s="12"/>
    </row>
    <row r="202" spans="2:34" ht="15.75">
      <c r="B202" s="100"/>
      <c r="C202" s="100"/>
      <c r="D202" s="100"/>
      <c r="E202" s="100"/>
      <c r="F202" s="100"/>
      <c r="G202" s="100"/>
      <c r="H202" s="103"/>
      <c r="I202" s="103"/>
      <c r="J202" s="103"/>
      <c r="K202" s="103"/>
      <c r="L202" s="103"/>
      <c r="M202" s="339"/>
      <c r="N202" s="191"/>
      <c r="O202" s="201"/>
      <c r="P202" s="296"/>
      <c r="Q202" s="202"/>
      <c r="R202" s="4"/>
      <c r="S202" s="117"/>
      <c r="T202" s="611"/>
      <c r="U202" s="608"/>
      <c r="AE202" s="12"/>
      <c r="AF202" s="12"/>
      <c r="AG202" s="12"/>
      <c r="AH202" s="12"/>
    </row>
    <row r="203" spans="1:34" ht="15.75">
      <c r="A203" s="188" t="s">
        <v>103</v>
      </c>
      <c r="B203" s="206">
        <v>597</v>
      </c>
      <c r="C203" s="206">
        <v>2201</v>
      </c>
      <c r="D203" s="207" t="s">
        <v>55</v>
      </c>
      <c r="E203" s="206">
        <v>1</v>
      </c>
      <c r="F203" s="208">
        <v>23881</v>
      </c>
      <c r="G203" s="209">
        <v>4</v>
      </c>
      <c r="H203" s="210"/>
      <c r="I203" s="210"/>
      <c r="J203" s="210"/>
      <c r="K203" s="210"/>
      <c r="L203" s="211"/>
      <c r="M203" s="343" t="s">
        <v>150</v>
      </c>
      <c r="N203" s="328" t="s">
        <v>353</v>
      </c>
      <c r="O203" s="213">
        <v>1</v>
      </c>
      <c r="P203" s="298">
        <v>23881</v>
      </c>
      <c r="Q203" s="214" t="s">
        <v>104</v>
      </c>
      <c r="R203" s="215">
        <v>2350</v>
      </c>
      <c r="S203" s="596" t="s">
        <v>113</v>
      </c>
      <c r="T203" s="212">
        <v>2550</v>
      </c>
      <c r="U203" s="322">
        <f>V203-Y203+Z203-AA203-AB203-AC203-X203</f>
        <v>11631.595449999997</v>
      </c>
      <c r="V203" s="401">
        <f>T203*$V$4</f>
        <v>29748.3</v>
      </c>
      <c r="W203" s="322">
        <v>296689</v>
      </c>
      <c r="X203" s="322">
        <v>4800</v>
      </c>
      <c r="Y203" s="216">
        <f>W203*$Y$4</f>
        <v>8900.67</v>
      </c>
      <c r="Z203" s="216">
        <f>W203*$Z$4</f>
        <v>5043.713000000001</v>
      </c>
      <c r="AA203" s="216">
        <f>W203*$AA$4</f>
        <v>4747.024</v>
      </c>
      <c r="AB203" s="322">
        <f>W203*$AB$4</f>
        <v>890.067</v>
      </c>
      <c r="AC203" s="401">
        <f>V203*$AC$4</f>
        <v>3822.65655</v>
      </c>
      <c r="AD203" s="217">
        <f>U203</f>
        <v>11631.595449999997</v>
      </c>
      <c r="AE203" s="12"/>
      <c r="AF203" s="12"/>
      <c r="AG203" s="12"/>
      <c r="AH203" s="12"/>
    </row>
    <row r="204" spans="2:34" ht="15.75">
      <c r="B204" s="100"/>
      <c r="C204" s="100"/>
      <c r="D204" s="100"/>
      <c r="E204" s="100"/>
      <c r="F204" s="100"/>
      <c r="G204" s="100"/>
      <c r="H204" s="218"/>
      <c r="I204" s="218"/>
      <c r="J204" s="103"/>
      <c r="K204" s="218"/>
      <c r="L204" s="218" t="s">
        <v>159</v>
      </c>
      <c r="M204" s="344"/>
      <c r="N204" s="191"/>
      <c r="O204" s="201"/>
      <c r="P204" s="296"/>
      <c r="Q204" s="202"/>
      <c r="R204" s="4"/>
      <c r="S204" s="117"/>
      <c r="T204" s="593"/>
      <c r="U204" s="609"/>
      <c r="V204" s="398"/>
      <c r="W204" s="319"/>
      <c r="X204" s="319"/>
      <c r="Y204" s="204"/>
      <c r="Z204" s="204"/>
      <c r="AA204" s="204"/>
      <c r="AB204" s="319"/>
      <c r="AC204" s="398"/>
      <c r="AD204" s="205"/>
      <c r="AE204" s="12"/>
      <c r="AF204" s="12"/>
      <c r="AG204" s="12"/>
      <c r="AH204" s="12"/>
    </row>
    <row r="205" spans="1:34" ht="15.75">
      <c r="A205" s="188" t="s">
        <v>284</v>
      </c>
      <c r="B205" s="206">
        <v>635</v>
      </c>
      <c r="C205" s="206">
        <v>1812</v>
      </c>
      <c r="D205" s="207" t="s">
        <v>164</v>
      </c>
      <c r="E205" s="206">
        <v>46</v>
      </c>
      <c r="F205" s="208">
        <v>20279</v>
      </c>
      <c r="G205" s="209">
        <v>5</v>
      </c>
      <c r="H205" s="210"/>
      <c r="I205" s="210"/>
      <c r="J205" s="219"/>
      <c r="K205" s="220"/>
      <c r="L205" s="211"/>
      <c r="M205" s="345" t="s">
        <v>151</v>
      </c>
      <c r="N205" s="329" t="s">
        <v>354</v>
      </c>
      <c r="O205" s="213">
        <v>46</v>
      </c>
      <c r="P205" s="298">
        <v>20279</v>
      </c>
      <c r="Q205" s="214" t="s">
        <v>285</v>
      </c>
      <c r="R205" s="215">
        <v>3000</v>
      </c>
      <c r="S205" s="289" t="s">
        <v>176</v>
      </c>
      <c r="T205" s="212">
        <v>3525</v>
      </c>
      <c r="U205" s="322">
        <f>V205-Y205+Z205-AA205-AB205-AC205-X205</f>
        <v>17976.821474999997</v>
      </c>
      <c r="V205" s="401">
        <f>T205*$V$4</f>
        <v>41122.65</v>
      </c>
      <c r="W205" s="322">
        <v>370674</v>
      </c>
      <c r="X205" s="322">
        <v>6000</v>
      </c>
      <c r="Y205" s="216">
        <f>W205*$Y$4</f>
        <v>11120.22</v>
      </c>
      <c r="Z205" s="216">
        <f>W205*$Z$4</f>
        <v>6301.4580000000005</v>
      </c>
      <c r="AA205" s="216">
        <f>W205*$AA$4</f>
        <v>5930.784000000001</v>
      </c>
      <c r="AB205" s="322">
        <f>W205*$AB$4</f>
        <v>1112.022</v>
      </c>
      <c r="AC205" s="401">
        <f>V205*$AC$4</f>
        <v>5284.260525000001</v>
      </c>
      <c r="AD205" s="217">
        <f>U205</f>
        <v>17976.821474999997</v>
      </c>
      <c r="AE205" s="12"/>
      <c r="AF205" s="12"/>
      <c r="AG205" s="12"/>
      <c r="AH205" s="12"/>
    </row>
    <row r="206" spans="2:34" ht="15.75">
      <c r="B206" s="164"/>
      <c r="C206" s="164"/>
      <c r="D206" s="175"/>
      <c r="E206" s="164"/>
      <c r="F206" s="163"/>
      <c r="G206" s="221"/>
      <c r="H206" s="222"/>
      <c r="I206" s="222"/>
      <c r="J206" s="223"/>
      <c r="K206" s="224"/>
      <c r="L206" s="224" t="s">
        <v>160</v>
      </c>
      <c r="M206" s="346"/>
      <c r="N206" s="327"/>
      <c r="O206" s="201"/>
      <c r="P206" s="296"/>
      <c r="Q206" s="202"/>
      <c r="R206" s="4"/>
      <c r="S206" s="117"/>
      <c r="T206" s="593"/>
      <c r="U206" s="609"/>
      <c r="V206" s="398"/>
      <c r="W206" s="319"/>
      <c r="X206" s="319"/>
      <c r="Y206" s="204"/>
      <c r="Z206" s="204"/>
      <c r="AA206" s="204"/>
      <c r="AB206" s="319"/>
      <c r="AC206" s="398"/>
      <c r="AD206" s="205"/>
      <c r="AE206" s="12"/>
      <c r="AF206" s="12"/>
      <c r="AG206" s="12"/>
      <c r="AH206" s="12"/>
    </row>
    <row r="207" spans="1:34" ht="15.75">
      <c r="A207" s="188" t="s">
        <v>284</v>
      </c>
      <c r="B207" s="206">
        <v>645</v>
      </c>
      <c r="C207" s="206">
        <v>2300</v>
      </c>
      <c r="D207" s="207" t="s">
        <v>87</v>
      </c>
      <c r="E207" s="206">
        <v>54</v>
      </c>
      <c r="F207" s="208">
        <v>16602</v>
      </c>
      <c r="G207" s="209">
        <v>6</v>
      </c>
      <c r="H207" s="210"/>
      <c r="I207" s="210"/>
      <c r="J207" s="219"/>
      <c r="K207" s="220"/>
      <c r="L207" s="211"/>
      <c r="M207" s="345" t="s">
        <v>241</v>
      </c>
      <c r="N207" s="329" t="s">
        <v>280</v>
      </c>
      <c r="O207" s="213">
        <v>54</v>
      </c>
      <c r="P207" s="298">
        <v>16602</v>
      </c>
      <c r="Q207" s="214" t="s">
        <v>285</v>
      </c>
      <c r="R207" s="215">
        <v>4389</v>
      </c>
      <c r="S207" s="289" t="s">
        <v>176</v>
      </c>
      <c r="T207" s="212">
        <v>5575</v>
      </c>
      <c r="U207" s="322">
        <f>V207-Y207+Z207-AA207-AB207-AC207-X207</f>
        <v>32802.589425</v>
      </c>
      <c r="V207" s="401">
        <f>T207*$V$4</f>
        <v>65037.950000000004</v>
      </c>
      <c r="W207" s="322">
        <v>521187</v>
      </c>
      <c r="X207" s="322">
        <v>7200</v>
      </c>
      <c r="Y207" s="216">
        <f>W207*$Y$4</f>
        <v>15635.609999999999</v>
      </c>
      <c r="Z207" s="216">
        <f>W207*$Z$4</f>
        <v>8860.179</v>
      </c>
      <c r="AA207" s="216">
        <f>W207*$AA$4</f>
        <v>8338.992</v>
      </c>
      <c r="AB207" s="322">
        <f>W207*$AB$4</f>
        <v>1563.561</v>
      </c>
      <c r="AC207" s="401">
        <f>V207*$AC$4</f>
        <v>8357.376575</v>
      </c>
      <c r="AD207" s="217">
        <f>U207</f>
        <v>32802.589425</v>
      </c>
      <c r="AE207" s="12"/>
      <c r="AF207" s="12"/>
      <c r="AG207" s="12"/>
      <c r="AH207" s="12"/>
    </row>
    <row r="208" spans="2:34" ht="15.75">
      <c r="B208" s="225"/>
      <c r="C208" s="225"/>
      <c r="D208" s="226"/>
      <c r="E208" s="225"/>
      <c r="F208" s="227"/>
      <c r="G208" s="225"/>
      <c r="H208" s="222"/>
      <c r="I208" s="222"/>
      <c r="J208" s="223"/>
      <c r="K208" s="224"/>
      <c r="L208" s="224" t="s">
        <v>112</v>
      </c>
      <c r="M208" s="346"/>
      <c r="N208" s="327"/>
      <c r="O208" s="201"/>
      <c r="P208" s="296"/>
      <c r="Q208" s="202"/>
      <c r="R208" s="4"/>
      <c r="S208" s="117"/>
      <c r="T208" s="593"/>
      <c r="U208" s="607"/>
      <c r="V208" s="398"/>
      <c r="W208" s="319"/>
      <c r="X208" s="319"/>
      <c r="Y208" s="203"/>
      <c r="Z208" s="203"/>
      <c r="AA208" s="203"/>
      <c r="AB208" s="203"/>
      <c r="AC208" s="203"/>
      <c r="AD208" s="205"/>
      <c r="AE208" s="12"/>
      <c r="AF208" s="12"/>
      <c r="AG208" s="12"/>
      <c r="AH208" s="12"/>
    </row>
    <row r="209" spans="2:34" ht="15.75">
      <c r="B209" s="228" t="s">
        <v>172</v>
      </c>
      <c r="C209" s="229"/>
      <c r="D209" s="230"/>
      <c r="E209" s="231"/>
      <c r="F209" s="227"/>
      <c r="G209" s="225"/>
      <c r="H209" s="222"/>
      <c r="I209" s="222"/>
      <c r="J209" s="223"/>
      <c r="K209" s="224"/>
      <c r="L209" s="222"/>
      <c r="M209" s="346"/>
      <c r="N209" s="327"/>
      <c r="O209" s="201"/>
      <c r="P209" s="296"/>
      <c r="Q209" s="202"/>
      <c r="R209" s="4"/>
      <c r="S209" s="117"/>
      <c r="T209" s="593"/>
      <c r="U209" s="607"/>
      <c r="V209" s="398"/>
      <c r="W209" s="319"/>
      <c r="X209" s="319"/>
      <c r="Y209" s="203"/>
      <c r="Z209" s="203"/>
      <c r="AA209" s="203"/>
      <c r="AB209" s="203"/>
      <c r="AC209" s="203"/>
      <c r="AD209" s="205"/>
      <c r="AE209" s="12"/>
      <c r="AF209" s="12"/>
      <c r="AG209" s="12"/>
      <c r="AH209" s="12"/>
    </row>
    <row r="210" spans="2:34" ht="15.75">
      <c r="B210" s="200"/>
      <c r="C210" s="200"/>
      <c r="D210" s="200"/>
      <c r="E210" s="200"/>
      <c r="F210" s="200"/>
      <c r="G210" s="200"/>
      <c r="H210" s="223"/>
      <c r="I210" s="223"/>
      <c r="J210" s="223"/>
      <c r="K210" s="223"/>
      <c r="L210" s="223"/>
      <c r="M210" s="347"/>
      <c r="N210" s="330"/>
      <c r="O210" s="201"/>
      <c r="P210" s="296"/>
      <c r="Q210" s="202"/>
      <c r="R210" s="4"/>
      <c r="S210" s="117"/>
      <c r="T210" s="593"/>
      <c r="U210" s="607"/>
      <c r="V210" s="398"/>
      <c r="W210" s="319"/>
      <c r="X210" s="319"/>
      <c r="Y210" s="203"/>
      <c r="Z210" s="203"/>
      <c r="AA210" s="203"/>
      <c r="AB210" s="203"/>
      <c r="AC210" s="203"/>
      <c r="AD210" s="205"/>
      <c r="AE210" s="12"/>
      <c r="AF210" s="12"/>
      <c r="AG210" s="12"/>
      <c r="AH210" s="12"/>
    </row>
    <row r="211" spans="1:34" ht="15.75">
      <c r="A211" s="232" t="s">
        <v>25</v>
      </c>
      <c r="B211" s="233">
        <v>644</v>
      </c>
      <c r="C211" s="233">
        <v>1802</v>
      </c>
      <c r="D211" s="234" t="s">
        <v>164</v>
      </c>
      <c r="E211" s="233">
        <v>51</v>
      </c>
      <c r="F211" s="235">
        <v>12556</v>
      </c>
      <c r="G211" s="236">
        <v>3</v>
      </c>
      <c r="H211" s="237"/>
      <c r="I211" s="237"/>
      <c r="J211" s="238"/>
      <c r="K211" s="239"/>
      <c r="L211" s="237"/>
      <c r="M211" s="348"/>
      <c r="N211" s="331">
        <f>U214</f>
        <v>12481.537060000002</v>
      </c>
      <c r="O211" s="242">
        <v>51</v>
      </c>
      <c r="P211" s="300">
        <v>4272</v>
      </c>
      <c r="Q211" s="243" t="s">
        <v>414</v>
      </c>
      <c r="R211" s="300">
        <v>776</v>
      </c>
      <c r="S211" s="300" t="s">
        <v>80</v>
      </c>
      <c r="T211" s="258">
        <v>775</v>
      </c>
      <c r="U211" s="323">
        <f>V211-Y211+Z211-AA211-AB211-AC211</f>
        <v>4192.930225</v>
      </c>
      <c r="V211" s="402">
        <f>T211*$V$4</f>
        <v>9041.15</v>
      </c>
      <c r="W211" s="323">
        <v>115201</v>
      </c>
      <c r="X211" s="323"/>
      <c r="Y211" s="245">
        <f>W211*$Y$4</f>
        <v>3456.0299999999997</v>
      </c>
      <c r="Z211" s="245">
        <f>W211*$Z$4</f>
        <v>1958.4170000000001</v>
      </c>
      <c r="AA211" s="245">
        <f>W211*$AA$4</f>
        <v>1843.2160000000001</v>
      </c>
      <c r="AB211" s="323">
        <f>W211*$AB$4</f>
        <v>345.603</v>
      </c>
      <c r="AC211" s="402">
        <f>V211*$AC$4</f>
        <v>1161.787775</v>
      </c>
      <c r="AD211" s="662"/>
      <c r="AE211" s="12"/>
      <c r="AF211" s="12"/>
      <c r="AG211" s="12"/>
      <c r="AH211" s="12"/>
    </row>
    <row r="212" spans="1:34" ht="15.75">
      <c r="A212" s="232"/>
      <c r="B212" s="231"/>
      <c r="C212" s="231"/>
      <c r="D212" s="230"/>
      <c r="E212" s="231"/>
      <c r="F212" s="247"/>
      <c r="G212" s="231"/>
      <c r="H212" s="237"/>
      <c r="I212" s="237"/>
      <c r="J212" s="237"/>
      <c r="K212" s="237"/>
      <c r="L212" s="237"/>
      <c r="M212" s="349"/>
      <c r="N212" s="331"/>
      <c r="O212" s="242">
        <v>51</v>
      </c>
      <c r="P212" s="300">
        <v>3853</v>
      </c>
      <c r="Q212" s="243" t="s">
        <v>414</v>
      </c>
      <c r="R212" s="300">
        <v>700</v>
      </c>
      <c r="S212" s="300" t="s">
        <v>80</v>
      </c>
      <c r="T212" s="258">
        <v>725</v>
      </c>
      <c r="U212" s="323">
        <f>V212-Y212+Z212-AA212-AB212-AC212</f>
        <v>3939.400275000001</v>
      </c>
      <c r="V212" s="402">
        <f>T212*$V$4</f>
        <v>8457.85</v>
      </c>
      <c r="W212" s="323">
        <v>107238</v>
      </c>
      <c r="X212" s="323"/>
      <c r="Y212" s="245">
        <f>W212*$Y$4</f>
        <v>3217.14</v>
      </c>
      <c r="Z212" s="245">
        <f>W212*$Z$4</f>
        <v>1823.046</v>
      </c>
      <c r="AA212" s="245">
        <f>W212*$AA$4</f>
        <v>1715.808</v>
      </c>
      <c r="AB212" s="323">
        <f>W212*$AB$4</f>
        <v>321.714</v>
      </c>
      <c r="AC212" s="402">
        <f>V212*$AC$4</f>
        <v>1086.8337250000002</v>
      </c>
      <c r="AD212" s="662"/>
      <c r="AE212" s="12"/>
      <c r="AF212" s="12"/>
      <c r="AG212" s="12"/>
      <c r="AH212" s="12"/>
    </row>
    <row r="213" spans="1:34" ht="15.75">
      <c r="A213" s="232"/>
      <c r="B213" s="231"/>
      <c r="C213" s="231"/>
      <c r="D213" s="230"/>
      <c r="E213" s="231"/>
      <c r="F213" s="249"/>
      <c r="G213" s="231"/>
      <c r="H213" s="237"/>
      <c r="I213" s="237"/>
      <c r="J213" s="250"/>
      <c r="K213" s="239"/>
      <c r="L213" s="237"/>
      <c r="M213" s="350"/>
      <c r="N213" s="331"/>
      <c r="O213" s="242">
        <v>51</v>
      </c>
      <c r="P213" s="300">
        <v>4431</v>
      </c>
      <c r="Q213" s="243" t="s">
        <v>414</v>
      </c>
      <c r="R213" s="300">
        <v>805</v>
      </c>
      <c r="S213" s="300" t="s">
        <v>80</v>
      </c>
      <c r="T213" s="258">
        <v>800</v>
      </c>
      <c r="U213" s="323">
        <f>V213-Y213+Z213-AA213-AB213-AC213</f>
        <v>4349.206560000001</v>
      </c>
      <c r="V213" s="402">
        <f>T213*$V$4</f>
        <v>9332.800000000001</v>
      </c>
      <c r="W213" s="323">
        <v>118260.27</v>
      </c>
      <c r="X213" s="323"/>
      <c r="Y213" s="245">
        <f>W213*$Y$4</f>
        <v>3547.8081</v>
      </c>
      <c r="Z213" s="245">
        <f>W213*$Z$4</f>
        <v>2010.4245900000003</v>
      </c>
      <c r="AA213" s="245">
        <f>W213*$AA$4</f>
        <v>1892.16432</v>
      </c>
      <c r="AB213" s="323">
        <f>W213*$AB$4</f>
        <v>354.78081000000003</v>
      </c>
      <c r="AC213" s="402">
        <f>V213*$AC$4</f>
        <v>1199.2648000000002</v>
      </c>
      <c r="AD213" s="662"/>
      <c r="AE213" s="12"/>
      <c r="AF213" s="12"/>
      <c r="AG213" s="12"/>
      <c r="AH213" s="12"/>
    </row>
    <row r="214" spans="1:34" ht="15.75">
      <c r="A214" s="232"/>
      <c r="B214" s="231"/>
      <c r="C214" s="231"/>
      <c r="D214" s="230"/>
      <c r="E214" s="231"/>
      <c r="F214" s="249"/>
      <c r="G214" s="231"/>
      <c r="H214" s="237"/>
      <c r="I214" s="237"/>
      <c r="J214" s="250"/>
      <c r="K214" s="239"/>
      <c r="L214" s="237"/>
      <c r="M214" s="350"/>
      <c r="N214" s="241" t="s">
        <v>412</v>
      </c>
      <c r="O214" s="242">
        <v>51</v>
      </c>
      <c r="P214" s="299">
        <v>12556</v>
      </c>
      <c r="Q214" s="243" t="s">
        <v>163</v>
      </c>
      <c r="R214" s="299">
        <v>2281</v>
      </c>
      <c r="S214" s="300" t="s">
        <v>80</v>
      </c>
      <c r="T214" s="244">
        <f>SUM(T211:T213)</f>
        <v>2300</v>
      </c>
      <c r="U214" s="251">
        <f>SUM(U211:U213)</f>
        <v>12481.537060000002</v>
      </c>
      <c r="V214" s="662">
        <f>SUM(V211:V213)</f>
        <v>26831.800000000003</v>
      </c>
      <c r="W214" s="251">
        <f>SUM(W211:W213)</f>
        <v>340699.27</v>
      </c>
      <c r="X214" s="323"/>
      <c r="Y214" s="245"/>
      <c r="Z214" s="245"/>
      <c r="AA214" s="245"/>
      <c r="AB214" s="323"/>
      <c r="AC214" s="402"/>
      <c r="AD214" s="662">
        <f>U214</f>
        <v>12481.537060000002</v>
      </c>
      <c r="AE214" s="12"/>
      <c r="AF214" s="12"/>
      <c r="AG214" s="12"/>
      <c r="AH214" s="12"/>
    </row>
    <row r="215" spans="2:34" ht="15.75">
      <c r="B215" s="126"/>
      <c r="C215" s="225"/>
      <c r="D215" s="226"/>
      <c r="E215" s="225"/>
      <c r="F215" s="252"/>
      <c r="G215" s="225"/>
      <c r="H215" s="222"/>
      <c r="I215" s="222"/>
      <c r="J215" s="223"/>
      <c r="K215" s="224"/>
      <c r="L215" s="222"/>
      <c r="M215" s="346"/>
      <c r="N215" s="327"/>
      <c r="P215" s="292"/>
      <c r="Q215" s="105"/>
      <c r="R215" s="107"/>
      <c r="S215" s="285"/>
      <c r="T215" s="593"/>
      <c r="U215" s="607"/>
      <c r="V215" s="463"/>
      <c r="W215" s="316"/>
      <c r="X215" s="316"/>
      <c r="Y215" s="108"/>
      <c r="Z215" s="108"/>
      <c r="AA215" s="108"/>
      <c r="AB215" s="108"/>
      <c r="AC215" s="108"/>
      <c r="AD215" s="132"/>
      <c r="AE215" s="12"/>
      <c r="AF215" s="12"/>
      <c r="AG215" s="12"/>
      <c r="AH215" s="12"/>
    </row>
    <row r="216" spans="2:34" ht="15.75">
      <c r="B216" s="126"/>
      <c r="C216" s="126"/>
      <c r="D216" s="253"/>
      <c r="E216" s="126"/>
      <c r="F216" s="252"/>
      <c r="G216" s="126"/>
      <c r="H216" s="254"/>
      <c r="I216" s="254"/>
      <c r="J216" s="103"/>
      <c r="K216" s="254"/>
      <c r="L216" s="254"/>
      <c r="M216" s="344"/>
      <c r="N216" s="326"/>
      <c r="P216" s="292"/>
      <c r="Q216" s="105"/>
      <c r="R216" s="107"/>
      <c r="S216" s="285"/>
      <c r="T216" s="593"/>
      <c r="U216" s="607"/>
      <c r="V216" s="463"/>
      <c r="W216" s="316"/>
      <c r="X216" s="316"/>
      <c r="Y216" s="108"/>
      <c r="Z216" s="108"/>
      <c r="AA216" s="108"/>
      <c r="AB216" s="108"/>
      <c r="AC216" s="108"/>
      <c r="AD216" s="132"/>
      <c r="AE216" s="12"/>
      <c r="AF216" s="12"/>
      <c r="AG216" s="12"/>
      <c r="AH216" s="12"/>
    </row>
    <row r="217" spans="1:34" ht="15.75">
      <c r="A217" s="232" t="s">
        <v>25</v>
      </c>
      <c r="B217" s="233">
        <v>534</v>
      </c>
      <c r="C217" s="233">
        <v>2112</v>
      </c>
      <c r="D217" s="234" t="s">
        <v>295</v>
      </c>
      <c r="E217" s="233">
        <v>114</v>
      </c>
      <c r="F217" s="255">
        <v>23582</v>
      </c>
      <c r="G217" s="236">
        <v>3</v>
      </c>
      <c r="H217" s="237"/>
      <c r="I217" s="237"/>
      <c r="J217" s="238"/>
      <c r="K217" s="239"/>
      <c r="L217" s="237"/>
      <c r="M217" s="350"/>
      <c r="N217" s="331">
        <f>U220</f>
        <v>12001.20405</v>
      </c>
      <c r="O217" s="256">
        <v>114</v>
      </c>
      <c r="P217" s="301">
        <v>11615</v>
      </c>
      <c r="Q217" s="243" t="s">
        <v>414</v>
      </c>
      <c r="R217" s="300">
        <v>820</v>
      </c>
      <c r="S217" s="290" t="s">
        <v>254</v>
      </c>
      <c r="T217" s="258">
        <v>850</v>
      </c>
      <c r="U217" s="323">
        <f>V217-Y217+Z217-AA217-AB217-AC217</f>
        <v>4984.40915</v>
      </c>
      <c r="V217" s="402">
        <f>T217*$V$4</f>
        <v>9916.1</v>
      </c>
      <c r="W217" s="323">
        <v>114296</v>
      </c>
      <c r="X217" s="323"/>
      <c r="Y217" s="245">
        <f>W217*$Y$4</f>
        <v>3428.8799999999997</v>
      </c>
      <c r="Z217" s="245">
        <f>W217*$Z$4</f>
        <v>1943.0320000000002</v>
      </c>
      <c r="AA217" s="245">
        <f>W217*$AA$4</f>
        <v>1828.736</v>
      </c>
      <c r="AB217" s="323">
        <f>W217*$AB$4</f>
        <v>342.88800000000003</v>
      </c>
      <c r="AC217" s="402">
        <f>V217*$AC$4</f>
        <v>1274.21885</v>
      </c>
      <c r="AD217" s="662"/>
      <c r="AE217" s="12"/>
      <c r="AF217" s="12"/>
      <c r="AG217" s="12"/>
      <c r="AH217" s="12"/>
    </row>
    <row r="218" spans="1:34" ht="15.75">
      <c r="A218" s="232"/>
      <c r="B218" s="231"/>
      <c r="C218" s="231"/>
      <c r="D218" s="230"/>
      <c r="E218" s="231"/>
      <c r="F218" s="247"/>
      <c r="G218" s="231"/>
      <c r="H218" s="237"/>
      <c r="I218" s="237"/>
      <c r="J218" s="237"/>
      <c r="K218" s="237"/>
      <c r="L218" s="237"/>
      <c r="M218" s="350"/>
      <c r="N218" s="331"/>
      <c r="O218" s="256"/>
      <c r="P218" s="301">
        <v>7040</v>
      </c>
      <c r="Q218" s="243" t="s">
        <v>414</v>
      </c>
      <c r="R218" s="300">
        <v>510</v>
      </c>
      <c r="S218" s="290" t="s">
        <v>254</v>
      </c>
      <c r="T218" s="258">
        <v>600</v>
      </c>
      <c r="U218" s="323">
        <f>V218-Y218+Z218-AA218-AB218-AC218</f>
        <v>3649.0153999999998</v>
      </c>
      <c r="V218" s="402">
        <f>T218*$V$4</f>
        <v>6999.6</v>
      </c>
      <c r="W218" s="323">
        <v>76598</v>
      </c>
      <c r="X218" s="323"/>
      <c r="Y218" s="245">
        <f>W218*$Y$4</f>
        <v>2297.94</v>
      </c>
      <c r="Z218" s="245">
        <f>W218*$Z$4</f>
        <v>1302.1660000000002</v>
      </c>
      <c r="AA218" s="245">
        <f>W218*$AA$4</f>
        <v>1225.568</v>
      </c>
      <c r="AB218" s="323">
        <f>W218*$AB$4</f>
        <v>229.794</v>
      </c>
      <c r="AC218" s="402">
        <f>V218*$AC$4</f>
        <v>899.4486</v>
      </c>
      <c r="AD218" s="662"/>
      <c r="AE218" s="12"/>
      <c r="AF218" s="12"/>
      <c r="AG218" s="12"/>
      <c r="AH218" s="12"/>
    </row>
    <row r="219" spans="1:34" ht="15.75">
      <c r="A219" s="232"/>
      <c r="B219" s="240"/>
      <c r="C219" s="240"/>
      <c r="D219" s="240"/>
      <c r="E219" s="240"/>
      <c r="F219" s="240"/>
      <c r="G219" s="240"/>
      <c r="H219" s="250"/>
      <c r="I219" s="250"/>
      <c r="J219" s="250"/>
      <c r="K219" s="250"/>
      <c r="L219" s="250"/>
      <c r="M219" s="350"/>
      <c r="N219" s="332"/>
      <c r="O219" s="256"/>
      <c r="P219" s="301">
        <v>4927</v>
      </c>
      <c r="Q219" s="243" t="s">
        <v>251</v>
      </c>
      <c r="R219" s="300">
        <v>360</v>
      </c>
      <c r="S219" s="290" t="s">
        <v>81</v>
      </c>
      <c r="T219" s="258">
        <v>500</v>
      </c>
      <c r="U219" s="323">
        <f>V219-Y219+Z219-AA219-AB219-AC219</f>
        <v>3367.7794999999996</v>
      </c>
      <c r="V219" s="402">
        <f>T219*$V$4</f>
        <v>5833</v>
      </c>
      <c r="W219" s="323">
        <v>53615</v>
      </c>
      <c r="X219" s="323"/>
      <c r="Y219" s="245">
        <f>W219*$Y$4</f>
        <v>1608.45</v>
      </c>
      <c r="Z219" s="245">
        <f>W219*$Z$4</f>
        <v>911.455</v>
      </c>
      <c r="AA219" s="245">
        <f>W219*$AA$4</f>
        <v>857.84</v>
      </c>
      <c r="AB219" s="323">
        <f>W219*$AB$4</f>
        <v>160.845</v>
      </c>
      <c r="AC219" s="402">
        <f>V219*$AC$4</f>
        <v>749.5405000000001</v>
      </c>
      <c r="AD219" s="662"/>
      <c r="AE219" s="12"/>
      <c r="AF219" s="12"/>
      <c r="AG219" s="12"/>
      <c r="AH219" s="12"/>
    </row>
    <row r="220" spans="1:34" ht="15.75">
      <c r="A220" s="232"/>
      <c r="B220" s="248"/>
      <c r="C220" s="248"/>
      <c r="D220" s="248"/>
      <c r="E220" s="248"/>
      <c r="F220" s="248"/>
      <c r="G220" s="248"/>
      <c r="H220" s="238"/>
      <c r="I220" s="238"/>
      <c r="J220" s="238"/>
      <c r="K220" s="238"/>
      <c r="L220" s="238"/>
      <c r="M220" s="351"/>
      <c r="N220" s="259" t="s">
        <v>412</v>
      </c>
      <c r="O220" s="256"/>
      <c r="P220" s="302">
        <v>23582</v>
      </c>
      <c r="Q220" s="592" t="s">
        <v>73</v>
      </c>
      <c r="R220" s="299">
        <f>SUM(R217:R219)</f>
        <v>1690</v>
      </c>
      <c r="S220" s="290"/>
      <c r="T220" s="244">
        <f>SUM(T217:T219)</f>
        <v>1950</v>
      </c>
      <c r="U220" s="251">
        <f>SUM(U217:U219)</f>
        <v>12001.20405</v>
      </c>
      <c r="V220" s="662">
        <f>SUM(V217:V219)</f>
        <v>22748.7</v>
      </c>
      <c r="W220" s="251">
        <f>SUM(W217:W219)</f>
        <v>244509</v>
      </c>
      <c r="X220" s="323"/>
      <c r="Y220" s="257"/>
      <c r="Z220" s="257"/>
      <c r="AA220" s="257"/>
      <c r="AB220" s="257"/>
      <c r="AC220" s="257"/>
      <c r="AD220" s="662">
        <f>U220</f>
        <v>12001.20405</v>
      </c>
      <c r="AE220" s="12"/>
      <c r="AF220" s="12"/>
      <c r="AG220" s="12"/>
      <c r="AH220" s="12"/>
    </row>
    <row r="221" spans="2:34" ht="15.75">
      <c r="B221" s="100"/>
      <c r="C221" s="100"/>
      <c r="D221" s="100"/>
      <c r="E221" s="100"/>
      <c r="F221" s="100"/>
      <c r="G221" s="100"/>
      <c r="H221" s="103"/>
      <c r="I221" s="103"/>
      <c r="J221" s="103"/>
      <c r="K221" s="103"/>
      <c r="L221" s="103"/>
      <c r="M221" s="339"/>
      <c r="N221" s="191"/>
      <c r="P221" s="292"/>
      <c r="Q221" s="106"/>
      <c r="R221" s="107"/>
      <c r="S221" s="285"/>
      <c r="T221" s="593"/>
      <c r="U221" s="607"/>
      <c r="V221" s="463"/>
      <c r="W221" s="316"/>
      <c r="X221" s="316"/>
      <c r="Y221" s="108"/>
      <c r="Z221" s="108"/>
      <c r="AA221" s="108"/>
      <c r="AB221" s="108"/>
      <c r="AC221" s="108"/>
      <c r="AD221" s="132"/>
      <c r="AE221" s="12"/>
      <c r="AF221" s="12"/>
      <c r="AG221" s="12"/>
      <c r="AH221" s="12"/>
    </row>
    <row r="222" spans="1:34" ht="15.75">
      <c r="A222" s="232" t="s">
        <v>75</v>
      </c>
      <c r="B222" s="233">
        <v>602</v>
      </c>
      <c r="C222" s="233">
        <v>2217</v>
      </c>
      <c r="D222" s="234" t="s">
        <v>55</v>
      </c>
      <c r="E222" s="233" t="s">
        <v>76</v>
      </c>
      <c r="F222" s="255">
        <v>14312</v>
      </c>
      <c r="G222" s="236">
        <v>2</v>
      </c>
      <c r="H222" s="237"/>
      <c r="I222" s="237"/>
      <c r="J222" s="237"/>
      <c r="K222" s="237"/>
      <c r="L222" s="237"/>
      <c r="M222" s="350"/>
      <c r="N222" s="331">
        <f>U224</f>
        <v>7949.479475</v>
      </c>
      <c r="O222" s="256">
        <v>1</v>
      </c>
      <c r="P222" s="303">
        <v>10164</v>
      </c>
      <c r="Q222" s="256" t="s">
        <v>252</v>
      </c>
      <c r="R222" s="300">
        <v>1225</v>
      </c>
      <c r="S222" s="290" t="s">
        <v>24</v>
      </c>
      <c r="T222" s="258">
        <v>1025</v>
      </c>
      <c r="U222" s="323">
        <f>V222-Y222+Z222-AA222-AB222-AC222</f>
        <v>5317.155975</v>
      </c>
      <c r="V222" s="402">
        <f>T222*$V$4</f>
        <v>11957.65</v>
      </c>
      <c r="W222" s="323">
        <v>159498</v>
      </c>
      <c r="X222" s="323"/>
      <c r="Y222" s="245">
        <f>W222*$Y$4</f>
        <v>4784.94</v>
      </c>
      <c r="Z222" s="245">
        <f>W222*$Z$4</f>
        <v>2711.4660000000003</v>
      </c>
      <c r="AA222" s="245">
        <f>W222*$AA$4</f>
        <v>2551.968</v>
      </c>
      <c r="AB222" s="323">
        <f>W222*$AB$4</f>
        <v>478.494</v>
      </c>
      <c r="AC222" s="402">
        <f>V222*$AC$4</f>
        <v>1536.558025</v>
      </c>
      <c r="AD222" s="662"/>
      <c r="AE222" s="12"/>
      <c r="AF222" s="12"/>
      <c r="AG222" s="12"/>
      <c r="AH222" s="12"/>
    </row>
    <row r="223" spans="1:34" ht="15.75">
      <c r="A223" s="232"/>
      <c r="B223" s="231"/>
      <c r="C223" s="231"/>
      <c r="D223" s="230"/>
      <c r="E223" s="231"/>
      <c r="F223" s="247"/>
      <c r="G223" s="231"/>
      <c r="H223" s="237"/>
      <c r="I223" s="237"/>
      <c r="J223" s="237"/>
      <c r="K223" s="237"/>
      <c r="L223" s="237"/>
      <c r="M223" s="350"/>
      <c r="N223" s="331"/>
      <c r="O223" s="256">
        <v>2</v>
      </c>
      <c r="P223" s="303">
        <v>4148</v>
      </c>
      <c r="Q223" s="256" t="s">
        <v>107</v>
      </c>
      <c r="R223" s="300">
        <v>500</v>
      </c>
      <c r="S223" s="290" t="s">
        <v>24</v>
      </c>
      <c r="T223" s="258">
        <v>500</v>
      </c>
      <c r="U223" s="323">
        <f>V223-Y223+Z223-AA223-AB223-AC223</f>
        <v>2632.3235000000004</v>
      </c>
      <c r="V223" s="402">
        <f>T223*$V$4</f>
        <v>5833</v>
      </c>
      <c r="W223" s="323">
        <v>76598</v>
      </c>
      <c r="X223" s="323"/>
      <c r="Y223" s="245">
        <f>W223*$Y$4</f>
        <v>2297.94</v>
      </c>
      <c r="Z223" s="245">
        <f>W223*$Z$4</f>
        <v>1302.1660000000002</v>
      </c>
      <c r="AA223" s="245">
        <f>W223*$AA$4</f>
        <v>1225.568</v>
      </c>
      <c r="AB223" s="323">
        <f>W223*$AB$4</f>
        <v>229.794</v>
      </c>
      <c r="AC223" s="402">
        <f>V223*$AC$4</f>
        <v>749.5405000000001</v>
      </c>
      <c r="AD223" s="662"/>
      <c r="AE223" s="12"/>
      <c r="AF223" s="12"/>
      <c r="AG223" s="12"/>
      <c r="AH223" s="12"/>
    </row>
    <row r="224" spans="1:34" ht="15.75">
      <c r="A224" s="232"/>
      <c r="B224" s="231"/>
      <c r="C224" s="231"/>
      <c r="D224" s="230"/>
      <c r="E224" s="231"/>
      <c r="F224" s="247"/>
      <c r="G224" s="231"/>
      <c r="H224" s="237"/>
      <c r="I224" s="237"/>
      <c r="J224" s="237"/>
      <c r="K224" s="237"/>
      <c r="L224" s="237"/>
      <c r="M224" s="350"/>
      <c r="N224" s="241" t="s">
        <v>77</v>
      </c>
      <c r="O224" s="256" t="s">
        <v>78</v>
      </c>
      <c r="P224" s="305">
        <f>SUM(P222:P223)</f>
        <v>14312</v>
      </c>
      <c r="Q224" s="592" t="s">
        <v>73</v>
      </c>
      <c r="R224" s="299">
        <f>SUM(R222:R223)</f>
        <v>1725</v>
      </c>
      <c r="S224" s="290"/>
      <c r="T224" s="244">
        <f>SUM(T222:T223)</f>
        <v>1525</v>
      </c>
      <c r="U224" s="251">
        <f>SUM(U222:U223)</f>
        <v>7949.479475</v>
      </c>
      <c r="V224" s="662">
        <f>SUM(V222:V223)</f>
        <v>17790.65</v>
      </c>
      <c r="W224" s="251">
        <f>SUM(W222:W223)</f>
        <v>236096</v>
      </c>
      <c r="X224" s="323"/>
      <c r="Y224" s="257"/>
      <c r="Z224" s="257"/>
      <c r="AA224" s="257"/>
      <c r="AB224" s="257"/>
      <c r="AC224" s="257"/>
      <c r="AD224" s="662">
        <f>U224</f>
        <v>7949.479475</v>
      </c>
      <c r="AE224" s="12"/>
      <c r="AF224" s="12"/>
      <c r="AG224" s="12"/>
      <c r="AH224" s="12"/>
    </row>
    <row r="225" spans="2:34" ht="15.75">
      <c r="B225" s="100"/>
      <c r="C225" s="100"/>
      <c r="D225" s="100"/>
      <c r="E225" s="100"/>
      <c r="F225" s="100"/>
      <c r="G225" s="100"/>
      <c r="H225" s="103"/>
      <c r="I225" s="103"/>
      <c r="J225" s="103"/>
      <c r="K225" s="103"/>
      <c r="L225" s="103"/>
      <c r="M225" s="339"/>
      <c r="N225" s="327"/>
      <c r="P225" s="292"/>
      <c r="Q225" s="106"/>
      <c r="R225" s="107"/>
      <c r="S225" s="285"/>
      <c r="T225" s="593"/>
      <c r="U225" s="607"/>
      <c r="V225" s="463"/>
      <c r="W225" s="316"/>
      <c r="X225" s="316"/>
      <c r="Y225" s="108"/>
      <c r="Z225" s="108"/>
      <c r="AA225" s="108"/>
      <c r="AB225" s="108"/>
      <c r="AC225" s="108"/>
      <c r="AD225" s="132"/>
      <c r="AE225" s="12"/>
      <c r="AF225" s="12"/>
      <c r="AG225" s="12"/>
      <c r="AH225" s="12"/>
    </row>
    <row r="226" spans="17:34" ht="15.75">
      <c r="Q226" s="571"/>
      <c r="T226" s="610"/>
      <c r="U226" s="608"/>
      <c r="AD226" s="132"/>
      <c r="AE226" s="12"/>
      <c r="AF226" s="12"/>
      <c r="AG226" s="12"/>
      <c r="AH226" s="12"/>
    </row>
    <row r="227" spans="1:34" ht="15.75">
      <c r="A227" s="232" t="s">
        <v>339</v>
      </c>
      <c r="B227" s="232"/>
      <c r="C227" s="232"/>
      <c r="D227" s="232"/>
      <c r="E227" s="232"/>
      <c r="F227" s="232"/>
      <c r="G227" s="232"/>
      <c r="H227" s="260"/>
      <c r="I227" s="260"/>
      <c r="J227" s="260"/>
      <c r="K227" s="260"/>
      <c r="L227" s="260"/>
      <c r="M227" s="353"/>
      <c r="N227" s="561">
        <f>U230</f>
        <v>8158.304150000002</v>
      </c>
      <c r="O227" s="256"/>
      <c r="P227" s="304"/>
      <c r="Q227" s="573"/>
      <c r="R227" s="261"/>
      <c r="S227" s="291"/>
      <c r="T227" s="262"/>
      <c r="U227" s="246"/>
      <c r="V227" s="404"/>
      <c r="W227" s="324"/>
      <c r="X227" s="324"/>
      <c r="Y227" s="246"/>
      <c r="Z227" s="246"/>
      <c r="AA227" s="246"/>
      <c r="AB227" s="246"/>
      <c r="AC227" s="246"/>
      <c r="AD227" s="662"/>
      <c r="AE227" s="12"/>
      <c r="AF227" s="12"/>
      <c r="AG227" s="12"/>
      <c r="AH227" s="12"/>
    </row>
    <row r="228" spans="1:34" ht="15.75">
      <c r="A228" s="232"/>
      <c r="B228" s="233">
        <v>572</v>
      </c>
      <c r="C228" s="233">
        <v>2111</v>
      </c>
      <c r="D228" s="234" t="s">
        <v>68</v>
      </c>
      <c r="E228" s="233">
        <v>132</v>
      </c>
      <c r="F228" s="255">
        <v>10624</v>
      </c>
      <c r="G228" s="236">
        <v>2</v>
      </c>
      <c r="H228" s="237"/>
      <c r="I228" s="237"/>
      <c r="J228" s="237"/>
      <c r="K228" s="237"/>
      <c r="L228" s="237"/>
      <c r="M228" s="350"/>
      <c r="N228" s="333"/>
      <c r="O228" s="256">
        <v>1</v>
      </c>
      <c r="P228" s="303">
        <v>8304</v>
      </c>
      <c r="Q228" s="256" t="s">
        <v>108</v>
      </c>
      <c r="R228" s="300">
        <v>1700</v>
      </c>
      <c r="S228" s="290" t="s">
        <v>340</v>
      </c>
      <c r="T228" s="258">
        <v>1325</v>
      </c>
      <c r="U228" s="323">
        <f>V228-Y228+Z228-AA228-AB228-AC228</f>
        <v>5149.311675</v>
      </c>
      <c r="V228" s="402">
        <f>T228*$V$4</f>
        <v>15457.45</v>
      </c>
      <c r="W228" s="323">
        <v>260058</v>
      </c>
      <c r="X228" s="323"/>
      <c r="Y228" s="245">
        <f>W228*$Y$4</f>
        <v>7801.74</v>
      </c>
      <c r="Z228" s="245">
        <f>W228*$Z$4</f>
        <v>4420.986</v>
      </c>
      <c r="AA228" s="245">
        <f>W228*$AA$4</f>
        <v>4160.928</v>
      </c>
      <c r="AB228" s="323">
        <f>W228*$AB$4</f>
        <v>780.174</v>
      </c>
      <c r="AC228" s="402">
        <f>V228*$AC$4</f>
        <v>1986.2823250000001</v>
      </c>
      <c r="AD228" s="662">
        <f>N228+U228</f>
        <v>5149.311675</v>
      </c>
      <c r="AE228" s="12"/>
      <c r="AF228" s="12"/>
      <c r="AG228" s="12"/>
      <c r="AH228" s="12"/>
    </row>
    <row r="229" spans="1:34" ht="15.75">
      <c r="A229" s="232"/>
      <c r="B229" s="231"/>
      <c r="C229" s="231"/>
      <c r="D229" s="230"/>
      <c r="E229" s="231"/>
      <c r="F229" s="247"/>
      <c r="G229" s="231"/>
      <c r="H229" s="237"/>
      <c r="I229" s="237"/>
      <c r="J229" s="237"/>
      <c r="K229" s="237"/>
      <c r="L229" s="237"/>
      <c r="M229" s="350"/>
      <c r="N229" s="331"/>
      <c r="O229" s="256">
        <v>2</v>
      </c>
      <c r="P229" s="303">
        <v>2320</v>
      </c>
      <c r="Q229" s="256" t="s">
        <v>109</v>
      </c>
      <c r="R229" s="300">
        <v>475</v>
      </c>
      <c r="S229" s="290" t="s">
        <v>340</v>
      </c>
      <c r="T229" s="258">
        <v>525</v>
      </c>
      <c r="U229" s="323">
        <f>V229-Y229+Z229-AA229-AB229-AC229</f>
        <v>3008.9924750000014</v>
      </c>
      <c r="V229" s="402">
        <f>T229*$V$4</f>
        <v>6124.650000000001</v>
      </c>
      <c r="W229" s="323">
        <v>72770</v>
      </c>
      <c r="X229" s="323"/>
      <c r="Y229" s="245">
        <f>W229*$Y$4</f>
        <v>2183.1</v>
      </c>
      <c r="Z229" s="245">
        <f>W229*$Z$4</f>
        <v>1237.0900000000001</v>
      </c>
      <c r="AA229" s="245">
        <f>W229*$AA$4</f>
        <v>1164.32</v>
      </c>
      <c r="AB229" s="323">
        <f>W229*$AB$4</f>
        <v>218.31</v>
      </c>
      <c r="AC229" s="402">
        <f>V229*$AC$4</f>
        <v>787.0175250000001</v>
      </c>
      <c r="AD229" s="662">
        <f>N229+U229</f>
        <v>3008.9924750000014</v>
      </c>
      <c r="AE229" s="12"/>
      <c r="AF229" s="12"/>
      <c r="AG229" s="12"/>
      <c r="AH229" s="12"/>
    </row>
    <row r="230" spans="1:34" ht="15.75">
      <c r="A230" s="232"/>
      <c r="B230" s="248"/>
      <c r="C230" s="248"/>
      <c r="D230" s="248"/>
      <c r="E230" s="248"/>
      <c r="F230" s="248"/>
      <c r="G230" s="248"/>
      <c r="H230" s="238"/>
      <c r="I230" s="238"/>
      <c r="J230" s="238"/>
      <c r="K230" s="238"/>
      <c r="L230" s="238"/>
      <c r="M230" s="351"/>
      <c r="N230" s="259" t="s">
        <v>77</v>
      </c>
      <c r="O230" s="256">
        <v>132</v>
      </c>
      <c r="P230" s="305">
        <f>SUM(P228:P229)</f>
        <v>10624</v>
      </c>
      <c r="Q230" s="592" t="s">
        <v>73</v>
      </c>
      <c r="R230" s="299">
        <f>SUM(R228:R229)</f>
        <v>2175</v>
      </c>
      <c r="S230" s="290"/>
      <c r="T230" s="244">
        <f>SUM(T228:T229)</f>
        <v>1850</v>
      </c>
      <c r="U230" s="251">
        <f>SUM(U228:U229)</f>
        <v>8158.304150000002</v>
      </c>
      <c r="V230" s="662">
        <f>SUM(V228:V229)</f>
        <v>21582.100000000002</v>
      </c>
      <c r="W230" s="251">
        <f>SUM(W228:W229)</f>
        <v>332828</v>
      </c>
      <c r="X230" s="323"/>
      <c r="Y230" s="251">
        <f>SUM(Y228:Y229)</f>
        <v>9984.84</v>
      </c>
      <c r="Z230" s="257"/>
      <c r="AA230" s="257"/>
      <c r="AB230" s="257"/>
      <c r="AC230" s="257"/>
      <c r="AD230" s="662">
        <f>U230</f>
        <v>8158.304150000002</v>
      </c>
      <c r="AE230" s="12"/>
      <c r="AF230" s="12"/>
      <c r="AG230" s="12"/>
      <c r="AH230" s="12"/>
    </row>
    <row r="231" spans="2:34" ht="15.75">
      <c r="B231" s="100"/>
      <c r="C231" s="100"/>
      <c r="D231" s="100"/>
      <c r="E231" s="100"/>
      <c r="F231" s="100"/>
      <c r="G231" s="100"/>
      <c r="H231" s="103"/>
      <c r="I231" s="103"/>
      <c r="J231" s="103"/>
      <c r="K231" s="103"/>
      <c r="L231" s="103"/>
      <c r="M231" s="339"/>
      <c r="N231" s="191"/>
      <c r="P231" s="292"/>
      <c r="Q231" s="106"/>
      <c r="R231" s="107"/>
      <c r="S231" s="285"/>
      <c r="T231" s="593"/>
      <c r="U231" s="607"/>
      <c r="V231" s="463"/>
      <c r="W231" s="316"/>
      <c r="X231" s="316"/>
      <c r="Y231" s="108"/>
      <c r="Z231" s="108"/>
      <c r="AA231" s="108"/>
      <c r="AB231" s="108"/>
      <c r="AC231" s="108"/>
      <c r="AD231" s="132"/>
      <c r="AE231" s="12"/>
      <c r="AF231" s="12"/>
      <c r="AG231" s="12"/>
      <c r="AH231" s="12"/>
    </row>
    <row r="232" spans="1:34" ht="15.75">
      <c r="A232" s="232" t="s">
        <v>143</v>
      </c>
      <c r="B232" s="233">
        <v>626</v>
      </c>
      <c r="C232" s="233">
        <v>2210</v>
      </c>
      <c r="D232" s="234" t="s">
        <v>153</v>
      </c>
      <c r="E232" s="233" t="s">
        <v>30</v>
      </c>
      <c r="F232" s="255">
        <v>12643</v>
      </c>
      <c r="G232" s="236">
        <v>2</v>
      </c>
      <c r="H232" s="237"/>
      <c r="I232" s="237"/>
      <c r="J232" s="237"/>
      <c r="K232" s="237"/>
      <c r="L232" s="237"/>
      <c r="M232" s="350"/>
      <c r="N232" s="579">
        <f>U234</f>
        <v>8273.103275000001</v>
      </c>
      <c r="O232" s="242">
        <v>1</v>
      </c>
      <c r="P232" s="299">
        <v>6827</v>
      </c>
      <c r="Q232" s="243" t="s">
        <v>110</v>
      </c>
      <c r="R232" s="300">
        <v>950</v>
      </c>
      <c r="S232" s="299" t="s">
        <v>331</v>
      </c>
      <c r="T232" s="258">
        <v>925</v>
      </c>
      <c r="U232" s="323">
        <f>V232-Y232+Z232-AA232-AB232-AC232</f>
        <v>3901.520075</v>
      </c>
      <c r="V232" s="402">
        <f>T232*$V$4</f>
        <v>10791.050000000001</v>
      </c>
      <c r="W232" s="323">
        <v>171965</v>
      </c>
      <c r="X232" s="323"/>
      <c r="Y232" s="245">
        <f>W232*$Y$4</f>
        <v>5158.95</v>
      </c>
      <c r="Z232" s="245">
        <f>W232*$Z$4</f>
        <v>2923.405</v>
      </c>
      <c r="AA232" s="245">
        <f>W232*$AA$4</f>
        <v>2751.44</v>
      </c>
      <c r="AB232" s="323">
        <f>W232*$AB$4</f>
        <v>515.895</v>
      </c>
      <c r="AC232" s="402">
        <f>V232*$AC$4</f>
        <v>1386.6499250000002</v>
      </c>
      <c r="AD232" s="662">
        <f>N232+U232</f>
        <v>12174.623350000002</v>
      </c>
      <c r="AE232" s="12"/>
      <c r="AF232" s="12"/>
      <c r="AG232" s="12"/>
      <c r="AH232" s="12"/>
    </row>
    <row r="233" spans="1:34" ht="15.75">
      <c r="A233" s="232"/>
      <c r="B233" s="231"/>
      <c r="C233" s="231"/>
      <c r="D233" s="230"/>
      <c r="E233" s="231"/>
      <c r="F233" s="247"/>
      <c r="G233" s="231"/>
      <c r="H233" s="237"/>
      <c r="I233" s="237"/>
      <c r="J233" s="237"/>
      <c r="K233" s="237"/>
      <c r="L233" s="263"/>
      <c r="M233" s="350"/>
      <c r="N233" s="331"/>
      <c r="O233" s="242">
        <v>2</v>
      </c>
      <c r="P233" s="299">
        <v>5816</v>
      </c>
      <c r="Q233" s="243" t="s">
        <v>111</v>
      </c>
      <c r="R233" s="300">
        <v>800</v>
      </c>
      <c r="S233" s="299" t="s">
        <v>331</v>
      </c>
      <c r="T233" s="258">
        <v>800</v>
      </c>
      <c r="U233" s="323">
        <f>V233-Y233+Z233-AA233-AB233-AC233</f>
        <v>4371.583200000001</v>
      </c>
      <c r="V233" s="402">
        <f>T233*$V$4</f>
        <v>9332.800000000001</v>
      </c>
      <c r="W233" s="323">
        <v>117561</v>
      </c>
      <c r="X233" s="323"/>
      <c r="Y233" s="245">
        <f>W233*$Y$4</f>
        <v>3526.83</v>
      </c>
      <c r="Z233" s="245">
        <f>W233*$Z$4</f>
        <v>1998.537</v>
      </c>
      <c r="AA233" s="245">
        <f>W233*$AA$4</f>
        <v>1880.976</v>
      </c>
      <c r="AB233" s="323">
        <f>W233*$AB$4</f>
        <v>352.683</v>
      </c>
      <c r="AC233" s="402">
        <f>V233*$AC$4</f>
        <v>1199.2648000000002</v>
      </c>
      <c r="AD233" s="662">
        <f>N233+U233</f>
        <v>4371.583200000001</v>
      </c>
      <c r="AE233" s="12"/>
      <c r="AF233" s="12"/>
      <c r="AG233" s="12"/>
      <c r="AH233" s="12"/>
    </row>
    <row r="234" spans="1:34" ht="15.75">
      <c r="A234" s="232"/>
      <c r="B234" s="248"/>
      <c r="C234" s="248"/>
      <c r="D234" s="248"/>
      <c r="E234" s="248"/>
      <c r="F234" s="248"/>
      <c r="G234" s="248"/>
      <c r="H234" s="238"/>
      <c r="I234" s="238"/>
      <c r="J234" s="238"/>
      <c r="K234" s="238"/>
      <c r="L234" s="238"/>
      <c r="M234" s="351"/>
      <c r="N234" s="259" t="s">
        <v>34</v>
      </c>
      <c r="O234" s="242" t="s">
        <v>35</v>
      </c>
      <c r="P234" s="299">
        <f>SUM(P232:P233)</f>
        <v>12643</v>
      </c>
      <c r="Q234" s="592" t="s">
        <v>73</v>
      </c>
      <c r="R234" s="299">
        <f>SUM(R232:R233)</f>
        <v>1750</v>
      </c>
      <c r="S234" s="290"/>
      <c r="T234" s="244">
        <f>SUM(T232:T233)</f>
        <v>1725</v>
      </c>
      <c r="U234" s="251">
        <f>SUM(U232:U233)</f>
        <v>8273.103275000001</v>
      </c>
      <c r="V234" s="662">
        <f>SUM(V232:V233)</f>
        <v>20123.850000000002</v>
      </c>
      <c r="W234" s="251">
        <f>SUM(W232:W233)</f>
        <v>289526</v>
      </c>
      <c r="X234" s="323"/>
      <c r="Y234" s="257"/>
      <c r="Z234" s="257"/>
      <c r="AA234" s="257"/>
      <c r="AB234" s="257"/>
      <c r="AC234" s="257"/>
      <c r="AD234" s="662">
        <f>U234</f>
        <v>8273.103275000001</v>
      </c>
      <c r="AE234" s="12"/>
      <c r="AF234" s="12"/>
      <c r="AG234" s="12"/>
      <c r="AH234" s="12"/>
    </row>
    <row r="235" spans="2:34" ht="15.75">
      <c r="B235" s="100"/>
      <c r="C235" s="100"/>
      <c r="D235" s="100"/>
      <c r="E235" s="100"/>
      <c r="F235" s="100"/>
      <c r="G235" s="100"/>
      <c r="H235" s="103"/>
      <c r="I235" s="103"/>
      <c r="J235" s="103"/>
      <c r="K235" s="103"/>
      <c r="L235" s="103"/>
      <c r="M235" s="339"/>
      <c r="N235" s="191"/>
      <c r="O235" s="11"/>
      <c r="P235" s="293"/>
      <c r="Q235" s="201"/>
      <c r="R235" s="293"/>
      <c r="S235" s="117"/>
      <c r="T235" s="118"/>
      <c r="U235" s="607"/>
      <c r="V235" s="398"/>
      <c r="W235" s="264"/>
      <c r="X235" s="319"/>
      <c r="Y235" s="203"/>
      <c r="Z235" s="203"/>
      <c r="AA235" s="203"/>
      <c r="AB235" s="203"/>
      <c r="AC235" s="203"/>
      <c r="AD235" s="132"/>
      <c r="AE235" s="12"/>
      <c r="AF235" s="12"/>
      <c r="AG235" s="12"/>
      <c r="AH235" s="12"/>
    </row>
    <row r="236" spans="1:34" ht="15.75">
      <c r="A236" s="232" t="s">
        <v>9</v>
      </c>
      <c r="B236" s="233">
        <v>568</v>
      </c>
      <c r="C236" s="233">
        <v>2119</v>
      </c>
      <c r="D236" s="234" t="s">
        <v>162</v>
      </c>
      <c r="E236" s="233">
        <v>102.5</v>
      </c>
      <c r="F236" s="255">
        <v>13141</v>
      </c>
      <c r="G236" s="236">
        <v>2</v>
      </c>
      <c r="H236" s="237"/>
      <c r="I236" s="237"/>
      <c r="J236" s="237"/>
      <c r="K236" s="237"/>
      <c r="L236" s="237"/>
      <c r="M236" s="350"/>
      <c r="N236" s="331">
        <f>U238</f>
        <v>10700.227650000003</v>
      </c>
      <c r="O236" s="242">
        <v>1</v>
      </c>
      <c r="P236" s="299">
        <v>7227</v>
      </c>
      <c r="Q236" s="242" t="s">
        <v>148</v>
      </c>
      <c r="R236" s="300">
        <v>1400</v>
      </c>
      <c r="S236" s="299" t="s">
        <v>10</v>
      </c>
      <c r="T236" s="258">
        <v>1225</v>
      </c>
      <c r="U236" s="323">
        <f>V236-Y236+Z236-AA236-AB236-AC236</f>
        <v>5368.587775000002</v>
      </c>
      <c r="V236" s="402">
        <f>T236*$V$4</f>
        <v>14290.85</v>
      </c>
      <c r="W236" s="323">
        <v>221434</v>
      </c>
      <c r="X236" s="323"/>
      <c r="Y236" s="245">
        <f>W236*$Y$4</f>
        <v>6643.0199999999995</v>
      </c>
      <c r="Z236" s="245">
        <f>W236*$Z$4</f>
        <v>3764.378</v>
      </c>
      <c r="AA236" s="245">
        <f>W236*$AA$4</f>
        <v>3542.944</v>
      </c>
      <c r="AB236" s="323">
        <f>W236*$AB$4</f>
        <v>664.302</v>
      </c>
      <c r="AC236" s="402">
        <f>V236*$AC$4</f>
        <v>1836.374225</v>
      </c>
      <c r="AD236" s="662">
        <f>N236+U236</f>
        <v>16068.815425000004</v>
      </c>
      <c r="AE236" s="12"/>
      <c r="AF236" s="12"/>
      <c r="AG236" s="12"/>
      <c r="AH236" s="12"/>
    </row>
    <row r="237" spans="1:34" ht="15.75">
      <c r="A237" s="232"/>
      <c r="B237" s="231"/>
      <c r="C237" s="231"/>
      <c r="D237" s="230"/>
      <c r="E237" s="231"/>
      <c r="F237" s="247"/>
      <c r="G237" s="231"/>
      <c r="H237" s="237"/>
      <c r="I237" s="237"/>
      <c r="J237" s="237"/>
      <c r="K237" s="237"/>
      <c r="L237" s="237"/>
      <c r="M237" s="350"/>
      <c r="N237" s="332"/>
      <c r="O237" s="242">
        <v>2</v>
      </c>
      <c r="P237" s="299">
        <v>5913</v>
      </c>
      <c r="Q237" s="242" t="s">
        <v>148</v>
      </c>
      <c r="R237" s="300">
        <v>1150</v>
      </c>
      <c r="S237" s="299" t="s">
        <v>331</v>
      </c>
      <c r="T237" s="258">
        <v>1125</v>
      </c>
      <c r="U237" s="323">
        <f>V237-Y237+Z237-AA237-AB237-AC237</f>
        <v>5331.639875000001</v>
      </c>
      <c r="V237" s="402">
        <f>T237*$V$4</f>
        <v>13124.25</v>
      </c>
      <c r="W237" s="323">
        <v>190817</v>
      </c>
      <c r="X237" s="323"/>
      <c r="Y237" s="245">
        <f>W237*$Y$4</f>
        <v>5724.51</v>
      </c>
      <c r="Z237" s="245">
        <f>W237*$Z$4</f>
        <v>3243.889</v>
      </c>
      <c r="AA237" s="245">
        <f>W237*$AA$4</f>
        <v>3053.072</v>
      </c>
      <c r="AB237" s="323">
        <f>W237*$AB$4</f>
        <v>572.451</v>
      </c>
      <c r="AC237" s="402">
        <f>V237*$AC$4</f>
        <v>1686.4661250000001</v>
      </c>
      <c r="AD237" s="662">
        <f>N237+U237</f>
        <v>5331.639875000001</v>
      </c>
      <c r="AE237" s="12"/>
      <c r="AF237" s="12"/>
      <c r="AG237" s="12"/>
      <c r="AH237" s="12"/>
    </row>
    <row r="238" spans="1:34" ht="15.75">
      <c r="A238" s="232"/>
      <c r="B238" s="248"/>
      <c r="C238" s="248"/>
      <c r="D238" s="248"/>
      <c r="E238" s="248"/>
      <c r="F238" s="248"/>
      <c r="G238" s="248"/>
      <c r="H238" s="238"/>
      <c r="I238" s="238"/>
      <c r="J238" s="238"/>
      <c r="K238" s="238"/>
      <c r="L238" s="238"/>
      <c r="M238" s="351"/>
      <c r="N238" s="259" t="s">
        <v>314</v>
      </c>
      <c r="O238" s="242">
        <v>102.5</v>
      </c>
      <c r="P238" s="299">
        <v>6827</v>
      </c>
      <c r="Q238" s="592" t="s">
        <v>73</v>
      </c>
      <c r="R238" s="299">
        <f>SUM(R236:R237)</f>
        <v>2550</v>
      </c>
      <c r="S238" s="290"/>
      <c r="T238" s="244">
        <f>SUM(T236:T237)</f>
        <v>2350</v>
      </c>
      <c r="U238" s="251">
        <f>SUM(U236:U237)</f>
        <v>10700.227650000003</v>
      </c>
      <c r="V238" s="662">
        <f>SUM(V236:V237)</f>
        <v>27415.1</v>
      </c>
      <c r="W238" s="251">
        <f>SUM(W236:W237)</f>
        <v>412251</v>
      </c>
      <c r="X238" s="323"/>
      <c r="Y238" s="257"/>
      <c r="Z238" s="257"/>
      <c r="AA238" s="257"/>
      <c r="AB238" s="257"/>
      <c r="AC238" s="257"/>
      <c r="AD238" s="662">
        <f>U238</f>
        <v>10700.227650000003</v>
      </c>
      <c r="AE238" s="12"/>
      <c r="AF238" s="12"/>
      <c r="AG238" s="12"/>
      <c r="AH238" s="12"/>
    </row>
    <row r="239" spans="20:34" ht="15.75">
      <c r="T239" s="610"/>
      <c r="U239" s="608"/>
      <c r="AD239" s="132"/>
      <c r="AE239" s="12"/>
      <c r="AF239" s="12"/>
      <c r="AG239" s="12"/>
      <c r="AH239" s="12"/>
    </row>
    <row r="240" spans="1:34" ht="15.75">
      <c r="A240" s="265" t="s">
        <v>315</v>
      </c>
      <c r="B240" s="266">
        <v>551</v>
      </c>
      <c r="C240" s="266">
        <v>2126</v>
      </c>
      <c r="D240" s="267" t="s">
        <v>295</v>
      </c>
      <c r="E240" s="266">
        <v>118</v>
      </c>
      <c r="F240" s="268">
        <v>83476</v>
      </c>
      <c r="G240" s="269">
        <v>1</v>
      </c>
      <c r="H240" s="270"/>
      <c r="I240" s="270"/>
      <c r="J240" s="270"/>
      <c r="K240" s="270"/>
      <c r="L240" s="270"/>
      <c r="M240" s="354"/>
      <c r="N240" s="334">
        <f>U240</f>
        <v>68876.79899999998</v>
      </c>
      <c r="O240" s="271"/>
      <c r="P240" s="306">
        <v>83476</v>
      </c>
      <c r="Q240" s="272" t="s">
        <v>316</v>
      </c>
      <c r="R240" s="273">
        <v>6591</v>
      </c>
      <c r="S240" s="273" t="s">
        <v>331</v>
      </c>
      <c r="T240" s="274">
        <v>9000</v>
      </c>
      <c r="U240" s="325">
        <f>V240-Y240+Z240-AA240-AB240-AC240</f>
        <v>68876.79899999998</v>
      </c>
      <c r="V240" s="557">
        <f>T240*$V$4</f>
        <v>104994</v>
      </c>
      <c r="W240" s="325">
        <v>707046</v>
      </c>
      <c r="X240" s="325"/>
      <c r="Y240" s="275">
        <f>W240*$Y$4</f>
        <v>21211.38</v>
      </c>
      <c r="Z240" s="275">
        <f>W240*$Z$4</f>
        <v>12019.782000000001</v>
      </c>
      <c r="AA240" s="275">
        <f>W240*$AA$4</f>
        <v>11312.736</v>
      </c>
      <c r="AB240" s="325">
        <f>W240*$AB$4</f>
        <v>2121.138</v>
      </c>
      <c r="AC240" s="405">
        <f>V240*$AC$4</f>
        <v>13491.729000000001</v>
      </c>
      <c r="AD240" s="276">
        <f>U240</f>
        <v>68876.79899999998</v>
      </c>
      <c r="AE240" s="12"/>
      <c r="AF240" s="12"/>
      <c r="AG240" s="12"/>
      <c r="AH240" s="12"/>
    </row>
    <row r="241" spans="30:34" ht="15.75">
      <c r="AD241" s="132"/>
      <c r="AE241" s="12"/>
      <c r="AF241" s="12"/>
      <c r="AG241" s="12"/>
      <c r="AH241" s="12"/>
    </row>
    <row r="242" spans="1:34" ht="15.75">
      <c r="A242" s="12"/>
      <c r="B242" s="12"/>
      <c r="AC242" s="558" t="s">
        <v>149</v>
      </c>
      <c r="AD242" s="132">
        <f>SUM(AD6:AD240)</f>
        <v>1717255.2247826946</v>
      </c>
      <c r="AE242" s="12"/>
      <c r="AF242" s="12"/>
      <c r="AG242" s="12"/>
      <c r="AH242" s="12"/>
    </row>
    <row r="243" ht="15.75">
      <c r="AD243" s="132"/>
    </row>
    <row r="244" ht="15.75">
      <c r="AD244" s="132"/>
    </row>
    <row r="245" ht="15.75">
      <c r="AD245" s="132"/>
    </row>
    <row r="246" ht="15.75">
      <c r="AD246" s="132"/>
    </row>
    <row r="247" ht="15.75">
      <c r="AD247" s="132"/>
    </row>
    <row r="248" ht="15.75">
      <c r="AD248" s="132"/>
    </row>
    <row r="249" ht="15.75">
      <c r="AD249" s="132"/>
    </row>
    <row r="250" ht="15.75">
      <c r="AD250" s="132"/>
    </row>
    <row r="251" ht="15.75">
      <c r="AD251" s="132"/>
    </row>
    <row r="252" ht="15.75">
      <c r="AD252" s="132"/>
    </row>
    <row r="253" ht="15.75">
      <c r="AD253" s="132"/>
    </row>
    <row r="254" ht="15.75">
      <c r="AD254" s="132"/>
    </row>
    <row r="255" ht="15.75">
      <c r="AD255" s="132"/>
    </row>
    <row r="256" ht="15.75">
      <c r="AD256" s="132"/>
    </row>
    <row r="257" ht="15.75">
      <c r="AD257" s="132"/>
    </row>
    <row r="258" ht="15.75">
      <c r="AD258" s="132"/>
    </row>
    <row r="259" ht="15.75">
      <c r="AD259" s="132"/>
    </row>
    <row r="260" ht="15.75">
      <c r="AD260" s="132"/>
    </row>
    <row r="261" ht="15.75">
      <c r="AD261" s="132"/>
    </row>
    <row r="262" ht="15.75">
      <c r="AD262" s="132"/>
    </row>
    <row r="263" ht="15.75">
      <c r="AD263" s="132"/>
    </row>
    <row r="264" ht="15.75">
      <c r="AD264" s="132"/>
    </row>
    <row r="265" ht="15.75">
      <c r="AD265" s="132"/>
    </row>
  </sheetData>
  <printOptions gridLines="1"/>
  <pageMargins left="0.5" right="0.5" top="0.5" bottom="0.5" header="0.5" footer="0.5"/>
  <pageSetup orientation="landscape" pageOrder="overThenDown" scale="7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9"/>
  <sheetViews>
    <sheetView zoomScale="150" zoomScaleNormal="150" workbookViewId="0" topLeftCell="A1">
      <pane ySplit="4" topLeftCell="BM7" activePane="bottomLeft" state="frozen"/>
      <selection pane="topLeft" activeCell="A1" sqref="A1"/>
      <selection pane="bottomLeft" activeCell="N14" sqref="N14"/>
    </sheetView>
  </sheetViews>
  <sheetFormatPr defaultColWidth="8.8515625" defaultRowHeight="22.5" customHeight="1"/>
  <cols>
    <col min="1" max="1" width="6.7109375" style="5" customWidth="1"/>
    <col min="2" max="2" width="8.7109375" style="22" customWidth="1"/>
    <col min="3" max="3" width="9.8515625" style="12" customWidth="1"/>
    <col min="4" max="4" width="17.28125" style="12" customWidth="1"/>
    <col min="5" max="6" width="10.00390625" style="12" customWidth="1"/>
    <col min="7" max="7" width="12.00390625" style="26" customWidth="1"/>
    <col min="8" max="8" width="14.140625" style="510" customWidth="1"/>
    <col min="9" max="9" width="12.00390625" style="12" customWidth="1"/>
    <col min="10" max="10" width="12.421875" style="510" customWidth="1"/>
    <col min="11" max="11" width="8.00390625" style="510" customWidth="1"/>
    <col min="12" max="12" width="11.8515625" style="12" customWidth="1"/>
    <col min="13" max="13" width="13.140625" style="27" customWidth="1"/>
    <col min="14" max="14" width="13.140625" style="12" customWidth="1"/>
    <col min="15" max="15" width="11.7109375" style="12" customWidth="1"/>
    <col min="16" max="16" width="14.28125" style="12" customWidth="1"/>
    <col min="17" max="17" width="12.00390625" style="12" customWidth="1"/>
    <col min="18" max="18" width="11.7109375" style="505" customWidth="1"/>
    <col min="19" max="16384" width="8.8515625" style="12" customWidth="1"/>
  </cols>
  <sheetData>
    <row r="1" spans="1:15" s="505" customFormat="1" ht="22.5" customHeight="1">
      <c r="A1" s="5"/>
      <c r="B1" s="25"/>
      <c r="C1" s="37"/>
      <c r="D1" s="60"/>
      <c r="E1" s="59"/>
      <c r="F1" s="59"/>
      <c r="G1" s="513"/>
      <c r="H1" s="511"/>
      <c r="I1" s="511"/>
      <c r="J1" s="511"/>
      <c r="K1" s="511"/>
      <c r="L1" s="21"/>
      <c r="M1" s="21"/>
      <c r="N1" s="21"/>
      <c r="O1" s="511"/>
    </row>
    <row r="3" spans="1:17" s="505" customFormat="1" ht="22.5" customHeight="1">
      <c r="A3" s="387"/>
      <c r="B3" s="388"/>
      <c r="C3" s="389"/>
      <c r="D3" s="389"/>
      <c r="E3" s="389"/>
      <c r="F3" s="389"/>
      <c r="G3" s="390"/>
      <c r="H3" s="512"/>
      <c r="I3" s="389"/>
      <c r="J3" s="512"/>
      <c r="K3" s="512"/>
      <c r="L3" s="389"/>
      <c r="M3" s="392"/>
      <c r="N3" s="389"/>
      <c r="O3" s="389"/>
      <c r="P3" s="389"/>
      <c r="Q3" s="389"/>
    </row>
    <row r="4" spans="1:17" s="505" customFormat="1" ht="22.5" customHeight="1">
      <c r="A4" s="5"/>
      <c r="B4" s="61" t="s">
        <v>83</v>
      </c>
      <c r="C4" s="22" t="s">
        <v>188</v>
      </c>
      <c r="D4" s="12"/>
      <c r="E4" s="12"/>
      <c r="F4" s="12"/>
      <c r="G4" s="26"/>
      <c r="H4" s="513" t="s">
        <v>33</v>
      </c>
      <c r="I4" s="12"/>
      <c r="J4" s="510"/>
      <c r="K4" s="510"/>
      <c r="L4" s="12"/>
      <c r="M4" s="27"/>
      <c r="N4" s="17"/>
      <c r="O4" s="17"/>
      <c r="P4" s="12"/>
      <c r="Q4" s="12"/>
    </row>
    <row r="5" spans="1:17" s="505" customFormat="1" ht="22.5" customHeight="1">
      <c r="A5" s="5"/>
      <c r="B5" s="410">
        <v>1</v>
      </c>
      <c r="C5" s="411">
        <v>7116</v>
      </c>
      <c r="D5" s="412" t="s">
        <v>207</v>
      </c>
      <c r="E5" s="70"/>
      <c r="F5" s="71">
        <f aca="true" t="shared" si="0" ref="F5:F48">C5</f>
        <v>7116</v>
      </c>
      <c r="G5" s="413"/>
      <c r="H5" s="494">
        <f>'By-Lot'!G229</f>
        <v>6494.323575000001</v>
      </c>
      <c r="I5" s="414" t="s">
        <v>15</v>
      </c>
      <c r="J5" s="413"/>
      <c r="K5" s="260"/>
      <c r="L5" s="415">
        <f>H5/C5</f>
        <v>0.9126368149241149</v>
      </c>
      <c r="M5" s="416"/>
      <c r="N5" s="443"/>
      <c r="O5" s="443"/>
      <c r="P5" s="12"/>
      <c r="Q5" s="505">
        <f>H10-H5</f>
        <v>254.1729750000004</v>
      </c>
    </row>
    <row r="6" spans="1:17" s="505" customFormat="1" ht="22.5" customHeight="1">
      <c r="A6" s="5"/>
      <c r="B6" s="517">
        <v>2</v>
      </c>
      <c r="C6" s="518">
        <v>7116</v>
      </c>
      <c r="D6" s="519" t="s">
        <v>39</v>
      </c>
      <c r="E6" s="498"/>
      <c r="F6" s="499">
        <f t="shared" si="0"/>
        <v>7116</v>
      </c>
      <c r="G6" s="520"/>
      <c r="H6" s="494">
        <f>'By-Lot'!G230</f>
        <v>6494.323575000001</v>
      </c>
      <c r="I6" s="493" t="s">
        <v>286</v>
      </c>
      <c r="J6" s="66"/>
      <c r="K6" s="66"/>
      <c r="L6" s="94">
        <f>(H5-H6)/H6</f>
        <v>0</v>
      </c>
      <c r="M6" s="504" t="s">
        <v>220</v>
      </c>
      <c r="N6" s="514">
        <f>H5-H6</f>
        <v>0</v>
      </c>
      <c r="O6" s="504" t="s">
        <v>220</v>
      </c>
      <c r="P6" s="12"/>
      <c r="Q6" s="12"/>
    </row>
    <row r="7" spans="1:17" s="505" customFormat="1" ht="22.5" customHeight="1">
      <c r="A7" s="5"/>
      <c r="B7" s="440">
        <v>3</v>
      </c>
      <c r="C7" s="441">
        <v>7116</v>
      </c>
      <c r="D7" s="42" t="s">
        <v>326</v>
      </c>
      <c r="E7" s="22"/>
      <c r="F7" s="34">
        <f>C7</f>
        <v>7116</v>
      </c>
      <c r="G7" s="26"/>
      <c r="H7" s="494">
        <f>'By-Lot'!G231</f>
        <v>5985.977625000001</v>
      </c>
      <c r="I7" s="65" t="s">
        <v>405</v>
      </c>
      <c r="J7" s="66"/>
      <c r="K7" s="66"/>
      <c r="L7" s="95">
        <f>(H5-H7)/H5</f>
        <v>0.07827542685998669</v>
      </c>
      <c r="M7" s="68" t="s">
        <v>118</v>
      </c>
      <c r="N7" s="77">
        <f>H5-H7</f>
        <v>508.3459499999999</v>
      </c>
      <c r="O7" s="68" t="s">
        <v>118</v>
      </c>
      <c r="P7" s="12"/>
      <c r="Q7" s="12"/>
    </row>
    <row r="8" spans="1:17" s="505" customFormat="1" ht="22.5" customHeight="1">
      <c r="A8" s="5"/>
      <c r="B8" s="438">
        <v>4</v>
      </c>
      <c r="C8" s="362">
        <v>7116</v>
      </c>
      <c r="D8" s="45" t="s">
        <v>327</v>
      </c>
      <c r="E8" s="39" t="s">
        <v>416</v>
      </c>
      <c r="F8" s="51">
        <f t="shared" si="0"/>
        <v>7116</v>
      </c>
      <c r="G8" s="363"/>
      <c r="H8" s="494">
        <f>'By-Lot'!G232</f>
        <v>6748.496550000002</v>
      </c>
      <c r="I8" s="72" t="s">
        <v>223</v>
      </c>
      <c r="J8" s="63"/>
      <c r="K8" s="63"/>
      <c r="L8" s="96">
        <f>(H8-H5)/H5</f>
        <v>0.03913771342999341</v>
      </c>
      <c r="M8" s="73" t="s">
        <v>287</v>
      </c>
      <c r="N8" s="99">
        <f>H8-H5</f>
        <v>254.1729750000004</v>
      </c>
      <c r="O8" s="427" t="s">
        <v>117</v>
      </c>
      <c r="P8" s="12"/>
      <c r="Q8" s="12"/>
    </row>
    <row r="9" spans="1:17" s="505" customFormat="1" ht="22.5" customHeight="1">
      <c r="A9" s="5"/>
      <c r="B9" s="439">
        <v>5</v>
      </c>
      <c r="C9" s="366">
        <v>7116</v>
      </c>
      <c r="D9" s="364" t="s">
        <v>328</v>
      </c>
      <c r="E9" s="367"/>
      <c r="F9" s="365">
        <f t="shared" si="0"/>
        <v>7116</v>
      </c>
      <c r="G9" s="368"/>
      <c r="H9" s="494">
        <f>'By-Lot'!G233</f>
        <v>7002.669525000003</v>
      </c>
      <c r="I9" s="371" t="s">
        <v>125</v>
      </c>
      <c r="J9" s="370"/>
      <c r="K9" s="370"/>
      <c r="L9" s="372">
        <f>(H9-H5)/H5</f>
        <v>0.07827542685998698</v>
      </c>
      <c r="M9" s="375" t="s">
        <v>287</v>
      </c>
      <c r="N9" s="369">
        <f>H9-H5</f>
        <v>508.3459500000017</v>
      </c>
      <c r="O9" s="373" t="s">
        <v>23</v>
      </c>
      <c r="P9" s="12"/>
      <c r="Q9" s="12"/>
    </row>
    <row r="10" spans="1:17" s="505" customFormat="1" ht="22.5" customHeight="1">
      <c r="A10" s="5"/>
      <c r="B10" s="71">
        <v>6</v>
      </c>
      <c r="C10" s="411">
        <v>10000</v>
      </c>
      <c r="D10" s="412" t="s">
        <v>329</v>
      </c>
      <c r="E10" s="70"/>
      <c r="F10" s="71">
        <f t="shared" si="0"/>
        <v>10000</v>
      </c>
      <c r="G10" s="413"/>
      <c r="H10" s="494">
        <f>'By-Lot'!G234</f>
        <v>6748.496550000002</v>
      </c>
      <c r="I10" s="403" t="s">
        <v>305</v>
      </c>
      <c r="J10" s="413"/>
      <c r="K10" s="260"/>
      <c r="L10" s="442">
        <f>(H10-H5)/(C10-C5)</f>
        <v>0.08813209951456324</v>
      </c>
      <c r="M10" s="417" t="s">
        <v>228</v>
      </c>
      <c r="N10" s="444">
        <f>(H10-H5)/(C10-C5)</f>
        <v>0.08813209951456324</v>
      </c>
      <c r="O10" s="587"/>
      <c r="P10" s="76"/>
      <c r="Q10" s="505">
        <f>H10</f>
        <v>6748.496550000002</v>
      </c>
    </row>
    <row r="11" spans="1:17" s="505" customFormat="1" ht="22.5" customHeight="1">
      <c r="A11" s="5"/>
      <c r="B11" s="360">
        <v>7</v>
      </c>
      <c r="C11" s="429">
        <v>10000</v>
      </c>
      <c r="D11" s="430" t="s">
        <v>330</v>
      </c>
      <c r="E11" s="359"/>
      <c r="F11" s="360">
        <f t="shared" si="0"/>
        <v>10000</v>
      </c>
      <c r="G11" s="431" t="s">
        <v>127</v>
      </c>
      <c r="H11" s="494">
        <f>'By-Lot'!G235</f>
        <v>6494.323575000001</v>
      </c>
      <c r="I11" s="432" t="s">
        <v>200</v>
      </c>
      <c r="J11" s="433"/>
      <c r="K11" s="433"/>
      <c r="L11" s="434">
        <f>(H10-H11)/H10</f>
        <v>0.03766364450464161</v>
      </c>
      <c r="M11" s="435" t="s">
        <v>235</v>
      </c>
      <c r="N11" s="91">
        <f>H10-H11</f>
        <v>254.1729750000004</v>
      </c>
      <c r="O11" s="436" t="s">
        <v>235</v>
      </c>
      <c r="P11" s="76"/>
      <c r="Q11" s="12"/>
    </row>
    <row r="12" spans="1:17" s="505" customFormat="1" ht="22.5" customHeight="1">
      <c r="A12" s="5"/>
      <c r="B12" s="55">
        <v>8</v>
      </c>
      <c r="C12" s="441">
        <v>10000</v>
      </c>
      <c r="D12" s="42" t="s">
        <v>216</v>
      </c>
      <c r="E12" s="22"/>
      <c r="F12" s="34">
        <f t="shared" si="0"/>
        <v>10000</v>
      </c>
      <c r="G12" s="26"/>
      <c r="H12" s="494">
        <f>'By-Lot'!G236</f>
        <v>6240.150599999999</v>
      </c>
      <c r="I12" s="65" t="s">
        <v>405</v>
      </c>
      <c r="J12" s="66"/>
      <c r="K12" s="66"/>
      <c r="L12" s="95">
        <f>(H10-H12)/H10</f>
        <v>0.07532728900928348</v>
      </c>
      <c r="M12" s="68" t="s">
        <v>118</v>
      </c>
      <c r="N12" s="77">
        <f>H10-H12</f>
        <v>508.34595000000263</v>
      </c>
      <c r="O12" s="68" t="s">
        <v>118</v>
      </c>
      <c r="P12" s="75"/>
      <c r="Q12" s="12"/>
    </row>
    <row r="13" spans="1:17" s="505" customFormat="1" ht="22.5" customHeight="1">
      <c r="A13" s="5"/>
      <c r="B13" s="446">
        <v>9</v>
      </c>
      <c r="C13" s="452">
        <v>10000</v>
      </c>
      <c r="D13" s="453" t="s">
        <v>170</v>
      </c>
      <c r="E13" s="445" t="s">
        <v>417</v>
      </c>
      <c r="F13" s="446">
        <f>C13</f>
        <v>10000</v>
      </c>
      <c r="G13" s="451"/>
      <c r="H13" s="494">
        <f>'By-Lot'!G237</f>
        <v>6494.323575000001</v>
      </c>
      <c r="I13" s="454" t="s">
        <v>219</v>
      </c>
      <c r="J13" s="451"/>
      <c r="K13" s="451"/>
      <c r="L13" s="455">
        <f>(H10-H13)/H10</f>
        <v>0.03766364450464161</v>
      </c>
      <c r="M13" s="456" t="s">
        <v>220</v>
      </c>
      <c r="N13" s="449">
        <f>H10-H13</f>
        <v>254.1729750000004</v>
      </c>
      <c r="O13" s="456" t="s">
        <v>220</v>
      </c>
      <c r="P13" s="75"/>
      <c r="Q13" s="12"/>
    </row>
    <row r="14" spans="1:17" s="505" customFormat="1" ht="22.5" customHeight="1">
      <c r="A14" s="5"/>
      <c r="B14" s="51">
        <v>10</v>
      </c>
      <c r="C14" s="362">
        <v>10000</v>
      </c>
      <c r="D14" s="45" t="s">
        <v>171</v>
      </c>
      <c r="E14" s="39"/>
      <c r="F14" s="51">
        <f t="shared" si="0"/>
        <v>10000</v>
      </c>
      <c r="G14" s="363"/>
      <c r="H14" s="494">
        <f>'By-Lot'!G238</f>
        <v>7002.669525000003</v>
      </c>
      <c r="I14" s="72" t="s">
        <v>223</v>
      </c>
      <c r="J14" s="63"/>
      <c r="K14" s="63"/>
      <c r="L14" s="96">
        <f>(H14-H10)/H10</f>
        <v>0.03766364450464174</v>
      </c>
      <c r="M14" s="73" t="s">
        <v>117</v>
      </c>
      <c r="N14" s="99">
        <f>H14-H10</f>
        <v>254.17297500000132</v>
      </c>
      <c r="O14" s="427" t="s">
        <v>117</v>
      </c>
      <c r="P14" s="76"/>
      <c r="Q14" s="12"/>
    </row>
    <row r="15" spans="2:16" ht="22.5" customHeight="1">
      <c r="B15" s="365">
        <v>11</v>
      </c>
      <c r="C15" s="366">
        <v>10000</v>
      </c>
      <c r="D15" s="364" t="s">
        <v>350</v>
      </c>
      <c r="E15" s="367"/>
      <c r="F15" s="365">
        <f t="shared" si="0"/>
        <v>10000</v>
      </c>
      <c r="G15" s="368"/>
      <c r="H15" s="494">
        <f>'By-Lot'!G239</f>
        <v>7256.842500000002</v>
      </c>
      <c r="I15" s="371" t="s">
        <v>125</v>
      </c>
      <c r="J15" s="370"/>
      <c r="K15" s="370"/>
      <c r="L15" s="372">
        <f>(H15-H10)/H10</f>
        <v>0.07532728900928308</v>
      </c>
      <c r="M15" s="373" t="s">
        <v>23</v>
      </c>
      <c r="N15" s="369">
        <f>H15-H10</f>
        <v>508.3459499999999</v>
      </c>
      <c r="O15" s="373" t="s">
        <v>23</v>
      </c>
      <c r="P15" s="75"/>
    </row>
    <row r="16" spans="2:17" ht="22.5" customHeight="1">
      <c r="B16" s="71">
        <v>12</v>
      </c>
      <c r="C16" s="411">
        <v>15000</v>
      </c>
      <c r="D16" s="414" t="s">
        <v>351</v>
      </c>
      <c r="E16" s="70"/>
      <c r="F16" s="71">
        <f t="shared" si="0"/>
        <v>15000</v>
      </c>
      <c r="G16" s="413"/>
      <c r="H16" s="494">
        <f>'By-Lot'!G240</f>
        <v>7155.173310000002</v>
      </c>
      <c r="I16" s="662" t="s">
        <v>302</v>
      </c>
      <c r="J16" s="413"/>
      <c r="K16" s="413"/>
      <c r="L16" s="415">
        <f>(H16-$H$10)/(C16-$C$10)</f>
        <v>0.08133535200000006</v>
      </c>
      <c r="M16" s="417" t="s">
        <v>228</v>
      </c>
      <c r="N16" s="444">
        <f>(H16-$H$10)/(C16-$C$10)</f>
        <v>0.08133535200000006</v>
      </c>
      <c r="O16" s="587">
        <f>L16/L10</f>
        <v>0.9228799999999991</v>
      </c>
      <c r="P16" s="587" t="s">
        <v>401</v>
      </c>
      <c r="Q16" s="505">
        <f>H16-H10</f>
        <v>406.6767600000003</v>
      </c>
    </row>
    <row r="17" spans="2:16" ht="22.5" customHeight="1">
      <c r="B17" s="34">
        <v>13</v>
      </c>
      <c r="C17" s="407">
        <v>15000</v>
      </c>
      <c r="D17" s="42" t="s">
        <v>69</v>
      </c>
      <c r="E17" s="36"/>
      <c r="F17" s="34">
        <f t="shared" si="0"/>
        <v>15000</v>
      </c>
      <c r="H17" s="494">
        <f>'By-Lot'!G241</f>
        <v>6646.827360000003</v>
      </c>
      <c r="I17" s="65" t="s">
        <v>405</v>
      </c>
      <c r="J17" s="66"/>
      <c r="K17" s="66"/>
      <c r="L17" s="95">
        <f>(H16-H17)/H16</f>
        <v>0.07104593110128297</v>
      </c>
      <c r="M17" s="67" t="s">
        <v>105</v>
      </c>
      <c r="N17" s="77">
        <f>H16-H17</f>
        <v>508.345949999999</v>
      </c>
      <c r="O17" s="68" t="s">
        <v>118</v>
      </c>
      <c r="P17" s="76"/>
    </row>
    <row r="18" spans="2:16" ht="22.5" customHeight="1">
      <c r="B18" s="446">
        <v>14</v>
      </c>
      <c r="C18" s="452">
        <v>15000</v>
      </c>
      <c r="D18" s="453" t="s">
        <v>413</v>
      </c>
      <c r="E18" s="445" t="s">
        <v>417</v>
      </c>
      <c r="F18" s="446">
        <f>C18</f>
        <v>15000</v>
      </c>
      <c r="G18" s="451"/>
      <c r="H18" s="494">
        <f>'By-Lot'!G242</f>
        <v>6901.000335000004</v>
      </c>
      <c r="I18" s="454" t="s">
        <v>219</v>
      </c>
      <c r="J18" s="451"/>
      <c r="K18" s="451"/>
      <c r="L18" s="455">
        <f>(H16-H18)/H16</f>
        <v>0.03552296555064123</v>
      </c>
      <c r="M18" s="457" t="s">
        <v>220</v>
      </c>
      <c r="N18" s="449">
        <f>H16-H18</f>
        <v>254.17297499999768</v>
      </c>
      <c r="O18" s="456" t="s">
        <v>220</v>
      </c>
      <c r="P18" s="76"/>
    </row>
    <row r="19" spans="2:16" ht="22.5" customHeight="1">
      <c r="B19" s="51">
        <v>15</v>
      </c>
      <c r="C19" s="362">
        <v>15000</v>
      </c>
      <c r="D19" s="45" t="s">
        <v>91</v>
      </c>
      <c r="E19" s="39"/>
      <c r="F19" s="51">
        <f t="shared" si="0"/>
        <v>15000</v>
      </c>
      <c r="G19" s="363"/>
      <c r="H19" s="494">
        <f>'By-Lot'!G243</f>
        <v>7409.346285000003</v>
      </c>
      <c r="I19" s="72" t="s">
        <v>223</v>
      </c>
      <c r="J19" s="63"/>
      <c r="K19" s="63"/>
      <c r="L19" s="96">
        <f>(H19-H16)/(H16)</f>
        <v>0.035522965550641744</v>
      </c>
      <c r="M19" s="64" t="s">
        <v>41</v>
      </c>
      <c r="N19" s="99">
        <f>H19-H16</f>
        <v>254.17297500000132</v>
      </c>
      <c r="O19" s="427" t="s">
        <v>117</v>
      </c>
      <c r="P19" s="75"/>
    </row>
    <row r="20" spans="2:16" ht="22.5" customHeight="1">
      <c r="B20" s="365">
        <v>16</v>
      </c>
      <c r="C20" s="366">
        <v>15000</v>
      </c>
      <c r="D20" s="374" t="s">
        <v>239</v>
      </c>
      <c r="E20" s="367"/>
      <c r="F20" s="365">
        <f t="shared" si="0"/>
        <v>15000</v>
      </c>
      <c r="G20" s="368"/>
      <c r="H20" s="494">
        <f>'By-Lot'!G244</f>
        <v>7663.519260000001</v>
      </c>
      <c r="I20" s="371" t="s">
        <v>355</v>
      </c>
      <c r="J20" s="368"/>
      <c r="K20" s="368"/>
      <c r="L20" s="372">
        <f>(H20-H16)/(H16)</f>
        <v>0.07104593110128297</v>
      </c>
      <c r="M20" s="375" t="s">
        <v>23</v>
      </c>
      <c r="N20" s="369">
        <f>H20-H16</f>
        <v>508.345949999999</v>
      </c>
      <c r="O20" s="373" t="s">
        <v>23</v>
      </c>
      <c r="P20" s="75"/>
    </row>
    <row r="21" spans="2:17" ht="22.5" customHeight="1">
      <c r="B21" s="71">
        <v>17</v>
      </c>
      <c r="C21" s="411">
        <v>20000</v>
      </c>
      <c r="D21" s="414" t="s">
        <v>231</v>
      </c>
      <c r="E21" s="70"/>
      <c r="F21" s="71">
        <f t="shared" si="0"/>
        <v>20000</v>
      </c>
      <c r="G21" s="80"/>
      <c r="H21" s="494">
        <f>'By-Lot'!G245</f>
        <v>7511.015475000003</v>
      </c>
      <c r="I21" s="662" t="s">
        <v>301</v>
      </c>
      <c r="J21" s="260"/>
      <c r="K21" s="260"/>
      <c r="L21" s="415">
        <f>(H21-$H$16)/(C21-$C$16)</f>
        <v>0.07116843300000018</v>
      </c>
      <c r="M21" s="417" t="s">
        <v>40</v>
      </c>
      <c r="N21" s="444"/>
      <c r="O21" s="587">
        <f>L21/L10</f>
        <v>0.8075200000000008</v>
      </c>
      <c r="P21" s="587" t="s">
        <v>401</v>
      </c>
      <c r="Q21" s="505">
        <f>H21-H16</f>
        <v>355.84216500000093</v>
      </c>
    </row>
    <row r="22" spans="2:16" ht="22.5" customHeight="1">
      <c r="B22" s="34">
        <v>18</v>
      </c>
      <c r="C22" s="407">
        <v>20000</v>
      </c>
      <c r="D22" s="42" t="s">
        <v>413</v>
      </c>
      <c r="E22" s="22"/>
      <c r="F22" s="34">
        <f t="shared" si="0"/>
        <v>20000</v>
      </c>
      <c r="G22" s="514"/>
      <c r="H22" s="494">
        <f>'By-Lot'!G246</f>
        <v>7002.669525000003</v>
      </c>
      <c r="I22" s="65" t="s">
        <v>406</v>
      </c>
      <c r="J22" s="66"/>
      <c r="K22" s="66"/>
      <c r="L22" s="95">
        <f>(H21-H22)/(H21)</f>
        <v>0.06768005627095312</v>
      </c>
      <c r="M22" s="67" t="s">
        <v>128</v>
      </c>
      <c r="N22" s="77">
        <f>H21-H22</f>
        <v>508.3459499999999</v>
      </c>
      <c r="O22" s="68" t="s">
        <v>118</v>
      </c>
      <c r="P22" s="76"/>
    </row>
    <row r="23" spans="2:16" ht="22.5" customHeight="1">
      <c r="B23" s="446">
        <v>19</v>
      </c>
      <c r="C23" s="452">
        <v>20000</v>
      </c>
      <c r="D23" s="453" t="s">
        <v>413</v>
      </c>
      <c r="E23" s="445" t="s">
        <v>417</v>
      </c>
      <c r="F23" s="446">
        <f>C23</f>
        <v>20000</v>
      </c>
      <c r="G23" s="449"/>
      <c r="H23" s="494">
        <f>'By-Lot'!G247</f>
        <v>7256.842500000002</v>
      </c>
      <c r="I23" s="454" t="s">
        <v>219</v>
      </c>
      <c r="J23" s="451"/>
      <c r="K23" s="451"/>
      <c r="L23" s="455">
        <f>(H21-H23)/(H21)</f>
        <v>0.03384002813547674</v>
      </c>
      <c r="M23" s="457" t="s">
        <v>220</v>
      </c>
      <c r="N23" s="449">
        <f>H21-H23</f>
        <v>254.17297500000132</v>
      </c>
      <c r="O23" s="456" t="s">
        <v>220</v>
      </c>
      <c r="P23" s="76"/>
    </row>
    <row r="24" spans="2:16" ht="22.5" customHeight="1">
      <c r="B24" s="39">
        <v>20</v>
      </c>
      <c r="C24" s="362">
        <v>20000</v>
      </c>
      <c r="D24" s="45" t="s">
        <v>232</v>
      </c>
      <c r="E24" s="39"/>
      <c r="F24" s="51">
        <f t="shared" si="0"/>
        <v>20000</v>
      </c>
      <c r="G24" s="99"/>
      <c r="H24" s="494">
        <f>'By-Lot'!G248</f>
        <v>7765.1884500000015</v>
      </c>
      <c r="I24" s="72" t="s">
        <v>223</v>
      </c>
      <c r="J24" s="63"/>
      <c r="K24" s="63"/>
      <c r="L24" s="96">
        <f>(H24-$H$21)/($H$21)</f>
        <v>0.03384002813547638</v>
      </c>
      <c r="M24" s="64" t="s">
        <v>40</v>
      </c>
      <c r="N24" s="99">
        <f>H24-H21</f>
        <v>254.1729749999986</v>
      </c>
      <c r="O24" s="427" t="s">
        <v>117</v>
      </c>
      <c r="P24" s="76"/>
    </row>
    <row r="25" spans="2:16" ht="22.5" customHeight="1">
      <c r="B25" s="367">
        <v>21</v>
      </c>
      <c r="C25" s="366">
        <v>20000</v>
      </c>
      <c r="D25" s="364" t="s">
        <v>233</v>
      </c>
      <c r="E25" s="367"/>
      <c r="F25" s="365">
        <f t="shared" si="0"/>
        <v>20000</v>
      </c>
      <c r="G25" s="369"/>
      <c r="H25" s="494">
        <f>'By-Lot'!G249</f>
        <v>8019.361425000003</v>
      </c>
      <c r="I25" s="371" t="s">
        <v>136</v>
      </c>
      <c r="J25" s="376"/>
      <c r="K25" s="376"/>
      <c r="L25" s="372">
        <f>(H25-$H$21)/($H$21)</f>
        <v>0.06768005627095312</v>
      </c>
      <c r="M25" s="375" t="s">
        <v>222</v>
      </c>
      <c r="N25" s="369">
        <f>H25-H21</f>
        <v>508.3459499999999</v>
      </c>
      <c r="O25" s="373" t="s">
        <v>23</v>
      </c>
      <c r="P25" s="76"/>
    </row>
    <row r="26" spans="1:18" s="17" customFormat="1" ht="22.5" customHeight="1">
      <c r="A26" s="5"/>
      <c r="B26" s="422">
        <v>22</v>
      </c>
      <c r="C26" s="423">
        <v>20000</v>
      </c>
      <c r="D26" s="424" t="s">
        <v>234</v>
      </c>
      <c r="E26" s="422"/>
      <c r="F26" s="425">
        <f t="shared" si="0"/>
        <v>20000</v>
      </c>
      <c r="G26" s="426"/>
      <c r="H26" s="494">
        <f>'By-Lot'!G250</f>
        <v>8273.534400000004</v>
      </c>
      <c r="I26" s="383" t="s">
        <v>197</v>
      </c>
      <c r="J26" s="384"/>
      <c r="K26" s="384"/>
      <c r="L26" s="385">
        <f>(H26-$H$21)/($H$21)</f>
        <v>0.10152008440642987</v>
      </c>
      <c r="M26" s="386" t="s">
        <v>117</v>
      </c>
      <c r="N26" s="437">
        <f>H26-H21</f>
        <v>762.5189250000012</v>
      </c>
      <c r="O26" s="386" t="s">
        <v>117</v>
      </c>
      <c r="P26" s="76"/>
      <c r="Q26" s="12"/>
      <c r="R26" s="505"/>
    </row>
    <row r="27" spans="1:17" s="17" customFormat="1" ht="22.5" customHeight="1">
      <c r="A27" s="5"/>
      <c r="B27" s="70">
        <v>23</v>
      </c>
      <c r="C27" s="411">
        <v>25000</v>
      </c>
      <c r="D27" s="414" t="s">
        <v>138</v>
      </c>
      <c r="E27" s="70"/>
      <c r="F27" s="71">
        <f t="shared" si="0"/>
        <v>25000</v>
      </c>
      <c r="G27" s="413"/>
      <c r="H27" s="494">
        <f>'By-Lot'!G251</f>
        <v>7663.519260000001</v>
      </c>
      <c r="I27" s="403" t="s">
        <v>303</v>
      </c>
      <c r="J27" s="260"/>
      <c r="K27" s="260"/>
      <c r="L27" s="415">
        <f>(H27-$H$21)/(C27-$C$21)</f>
        <v>0.03050075699999961</v>
      </c>
      <c r="M27" s="417" t="s">
        <v>40</v>
      </c>
      <c r="N27" s="428">
        <f>(H27-$H$10)/(C27-$C$10)</f>
        <v>0.06100151399999995</v>
      </c>
      <c r="O27" s="587">
        <f>L27/L10</f>
        <v>0.34607999999999506</v>
      </c>
      <c r="P27" s="587" t="s">
        <v>401</v>
      </c>
      <c r="Q27" s="505">
        <f>H27-H21</f>
        <v>152.50378499999806</v>
      </c>
    </row>
    <row r="28" spans="1:18" s="17" customFormat="1" ht="22.5" customHeight="1">
      <c r="A28" s="5"/>
      <c r="B28" s="22">
        <v>24</v>
      </c>
      <c r="C28" s="407">
        <v>25000</v>
      </c>
      <c r="D28" s="42" t="s">
        <v>139</v>
      </c>
      <c r="E28" s="22"/>
      <c r="F28" s="34">
        <f t="shared" si="0"/>
        <v>25000</v>
      </c>
      <c r="G28" s="26"/>
      <c r="H28" s="494">
        <f>'By-Lot'!G252</f>
        <v>7155.173310000002</v>
      </c>
      <c r="I28" s="65" t="s">
        <v>201</v>
      </c>
      <c r="J28" s="510"/>
      <c r="K28" s="510"/>
      <c r="L28" s="95">
        <f>(H27-H28)/H27</f>
        <v>0.0663332253437827</v>
      </c>
      <c r="M28" s="90" t="s">
        <v>105</v>
      </c>
      <c r="N28" s="77">
        <f>H27-H28</f>
        <v>508.345949999999</v>
      </c>
      <c r="O28" s="68" t="s">
        <v>118</v>
      </c>
      <c r="P28" s="76"/>
      <c r="Q28" s="12"/>
      <c r="R28" s="505"/>
    </row>
    <row r="29" spans="1:18" s="17" customFormat="1" ht="22.5" customHeight="1">
      <c r="A29" s="5"/>
      <c r="B29" s="445">
        <v>25</v>
      </c>
      <c r="C29" s="452">
        <v>25000</v>
      </c>
      <c r="D29" s="453" t="s">
        <v>413</v>
      </c>
      <c r="E29" s="445" t="s">
        <v>417</v>
      </c>
      <c r="F29" s="446">
        <f>C29</f>
        <v>25000</v>
      </c>
      <c r="G29" s="451"/>
      <c r="H29" s="494">
        <f>'By-Lot'!G253</f>
        <v>7409.346285000003</v>
      </c>
      <c r="I29" s="454" t="s">
        <v>296</v>
      </c>
      <c r="J29" s="458"/>
      <c r="K29" s="458"/>
      <c r="L29" s="455">
        <f>(H27-H29)/H27</f>
        <v>0.03316661267189112</v>
      </c>
      <c r="M29" s="459" t="s">
        <v>220</v>
      </c>
      <c r="N29" s="460">
        <f>H27-H29</f>
        <v>254.17297499999768</v>
      </c>
      <c r="O29" s="461" t="s">
        <v>220</v>
      </c>
      <c r="P29" s="76"/>
      <c r="Q29" s="12"/>
      <c r="R29" s="505"/>
    </row>
    <row r="30" spans="1:18" s="17" customFormat="1" ht="22.5" customHeight="1">
      <c r="A30" s="5"/>
      <c r="B30" s="39">
        <v>26</v>
      </c>
      <c r="C30" s="362">
        <v>25000</v>
      </c>
      <c r="D30" s="45" t="s">
        <v>140</v>
      </c>
      <c r="E30" s="39"/>
      <c r="F30" s="51">
        <f t="shared" si="0"/>
        <v>25000</v>
      </c>
      <c r="G30" s="363"/>
      <c r="H30" s="494">
        <f>'By-Lot'!G254</f>
        <v>7917.692235000002</v>
      </c>
      <c r="I30" s="72" t="s">
        <v>223</v>
      </c>
      <c r="J30" s="63"/>
      <c r="K30" s="63"/>
      <c r="L30" s="96">
        <f>(H30-$H$27)/($H$27)</f>
        <v>0.033166612671891596</v>
      </c>
      <c r="M30" s="64" t="s">
        <v>132</v>
      </c>
      <c r="N30" s="99">
        <f>H30-H27</f>
        <v>254.17297500000132</v>
      </c>
      <c r="O30" s="427" t="s">
        <v>117</v>
      </c>
      <c r="P30" s="76"/>
      <c r="Q30" s="12"/>
      <c r="R30" s="505"/>
    </row>
    <row r="31" spans="1:18" s="17" customFormat="1" ht="22.5" customHeight="1">
      <c r="A31" s="5"/>
      <c r="B31" s="367">
        <v>27</v>
      </c>
      <c r="C31" s="366">
        <v>25000</v>
      </c>
      <c r="D31" s="364" t="s">
        <v>43</v>
      </c>
      <c r="E31" s="367"/>
      <c r="F31" s="365">
        <f t="shared" si="0"/>
        <v>25000</v>
      </c>
      <c r="G31" s="368"/>
      <c r="H31" s="494">
        <f>'By-Lot'!G255</f>
        <v>8171.865210000004</v>
      </c>
      <c r="I31" s="371" t="s">
        <v>197</v>
      </c>
      <c r="J31" s="368"/>
      <c r="K31" s="368"/>
      <c r="L31" s="372">
        <f>(H31-$H$27)/($H$27)</f>
        <v>0.06633322534378319</v>
      </c>
      <c r="M31" s="375" t="s">
        <v>129</v>
      </c>
      <c r="N31" s="369">
        <f>H31-H27</f>
        <v>508.34595000000263</v>
      </c>
      <c r="O31" s="373" t="s">
        <v>23</v>
      </c>
      <c r="P31" s="76"/>
      <c r="Q31" s="12"/>
      <c r="R31" s="505"/>
    </row>
    <row r="32" spans="1:18" s="17" customFormat="1" ht="22.5" customHeight="1">
      <c r="A32" s="5"/>
      <c r="B32" s="379">
        <v>28</v>
      </c>
      <c r="C32" s="380">
        <v>25000</v>
      </c>
      <c r="D32" s="378" t="s">
        <v>44</v>
      </c>
      <c r="E32" s="379"/>
      <c r="F32" s="381">
        <f t="shared" si="0"/>
        <v>25000</v>
      </c>
      <c r="G32" s="382"/>
      <c r="H32" s="494">
        <f>'By-Lot'!G256</f>
        <v>8426.038185000001</v>
      </c>
      <c r="I32" s="383" t="s">
        <v>197</v>
      </c>
      <c r="J32" s="384"/>
      <c r="K32" s="384"/>
      <c r="L32" s="385">
        <f>(H32-$H$27)/($H$27)</f>
        <v>0.0994998380156743</v>
      </c>
      <c r="M32" s="386" t="s">
        <v>130</v>
      </c>
      <c r="N32" s="437">
        <f>H32-H27</f>
        <v>762.5189250000003</v>
      </c>
      <c r="O32" s="386" t="s">
        <v>117</v>
      </c>
      <c r="P32" s="76"/>
      <c r="Q32" s="12"/>
      <c r="R32" s="505"/>
    </row>
    <row r="33" spans="1:17" s="17" customFormat="1" ht="22.5" customHeight="1">
      <c r="A33" s="5"/>
      <c r="B33" s="70">
        <v>29</v>
      </c>
      <c r="C33" s="411">
        <v>30000</v>
      </c>
      <c r="D33" s="414" t="s">
        <v>138</v>
      </c>
      <c r="E33" s="70"/>
      <c r="F33" s="71">
        <f t="shared" si="0"/>
        <v>30000</v>
      </c>
      <c r="G33" s="413"/>
      <c r="H33" s="494">
        <f>'By-Lot'!G257</f>
        <v>7765.1884500000015</v>
      </c>
      <c r="I33" s="403" t="s">
        <v>306</v>
      </c>
      <c r="J33" s="260"/>
      <c r="K33" s="260"/>
      <c r="L33" s="415">
        <f>(H33-$H$27)/(C33-$C$27)</f>
        <v>0.020333838000000104</v>
      </c>
      <c r="M33" s="417" t="s">
        <v>40</v>
      </c>
      <c r="N33" s="419">
        <f>(H33-$H$10)/(C33-$C$10)</f>
        <v>0.05083459499999999</v>
      </c>
      <c r="O33" s="587">
        <f>L33/L10</f>
        <v>0.2307200000000008</v>
      </c>
      <c r="P33" s="587" t="s">
        <v>401</v>
      </c>
      <c r="Q33" s="505">
        <f>H33-H27</f>
        <v>101.66919000000053</v>
      </c>
    </row>
    <row r="34" spans="1:18" s="17" customFormat="1" ht="22.5" customHeight="1">
      <c r="A34" s="5"/>
      <c r="B34" s="22">
        <v>30</v>
      </c>
      <c r="C34" s="407">
        <v>30000</v>
      </c>
      <c r="D34" s="42" t="s">
        <v>45</v>
      </c>
      <c r="E34" s="22"/>
      <c r="F34" s="34">
        <f t="shared" si="0"/>
        <v>30000</v>
      </c>
      <c r="G34" s="26"/>
      <c r="H34" s="494">
        <f>'By-Lot'!G258</f>
        <v>7256.842500000002</v>
      </c>
      <c r="I34" s="65" t="s">
        <v>201</v>
      </c>
      <c r="J34" s="510"/>
      <c r="K34" s="510"/>
      <c r="L34" s="95">
        <f>(H33-H34)/(H33)</f>
        <v>0.06546472803245358</v>
      </c>
      <c r="M34" s="90" t="s">
        <v>105</v>
      </c>
      <c r="N34" s="77">
        <f>H33-H34</f>
        <v>508.3459499999999</v>
      </c>
      <c r="O34" s="68" t="s">
        <v>118</v>
      </c>
      <c r="P34" s="76"/>
      <c r="Q34" s="12"/>
      <c r="R34" s="505"/>
    </row>
    <row r="35" spans="1:18" s="17" customFormat="1" ht="22.5" customHeight="1">
      <c r="A35" s="5"/>
      <c r="B35" s="445">
        <v>31</v>
      </c>
      <c r="C35" s="452">
        <v>30000</v>
      </c>
      <c r="D35" s="453" t="s">
        <v>45</v>
      </c>
      <c r="E35" s="445" t="s">
        <v>417</v>
      </c>
      <c r="F35" s="446">
        <f>C35</f>
        <v>30000</v>
      </c>
      <c r="G35" s="451"/>
      <c r="H35" s="494">
        <f>'By-Lot'!G259</f>
        <v>7511.015475000003</v>
      </c>
      <c r="I35" s="454" t="s">
        <v>296</v>
      </c>
      <c r="J35" s="458"/>
      <c r="K35" s="458"/>
      <c r="L35" s="455">
        <f>(H33-H35)/(H33)</f>
        <v>0.03273236401622662</v>
      </c>
      <c r="M35" s="459" t="s">
        <v>220</v>
      </c>
      <c r="N35" s="460">
        <f>H33-H35</f>
        <v>254.1729749999986</v>
      </c>
      <c r="O35" s="461" t="s">
        <v>220</v>
      </c>
      <c r="P35" s="76"/>
      <c r="Q35" s="12"/>
      <c r="R35" s="505"/>
    </row>
    <row r="36" spans="1:18" s="17" customFormat="1" ht="22.5" customHeight="1">
      <c r="A36" s="5"/>
      <c r="B36" s="39">
        <v>32</v>
      </c>
      <c r="C36" s="362">
        <v>30000</v>
      </c>
      <c r="D36" s="45" t="s">
        <v>91</v>
      </c>
      <c r="E36" s="39"/>
      <c r="F36" s="51">
        <f>C36</f>
        <v>30000</v>
      </c>
      <c r="G36" s="363"/>
      <c r="H36" s="494">
        <f>'By-Lot'!G260</f>
        <v>8019.361425000003</v>
      </c>
      <c r="I36" s="72" t="s">
        <v>125</v>
      </c>
      <c r="J36" s="74"/>
      <c r="K36" s="74"/>
      <c r="L36" s="97">
        <f>(H36-$H$33)/($H$33)</f>
        <v>0.03273236401622697</v>
      </c>
      <c r="M36" s="64" t="s">
        <v>132</v>
      </c>
      <c r="N36" s="99">
        <f>H36-H33</f>
        <v>254.17297500000132</v>
      </c>
      <c r="O36" s="427" t="s">
        <v>117</v>
      </c>
      <c r="P36" s="76"/>
      <c r="Q36" s="12"/>
      <c r="R36" s="505"/>
    </row>
    <row r="37" spans="1:18" s="17" customFormat="1" ht="22.5" customHeight="1">
      <c r="A37" s="5"/>
      <c r="B37" s="367">
        <v>33</v>
      </c>
      <c r="C37" s="366">
        <v>30000</v>
      </c>
      <c r="D37" s="364" t="s">
        <v>46</v>
      </c>
      <c r="E37" s="367"/>
      <c r="F37" s="365">
        <f>C37</f>
        <v>30000</v>
      </c>
      <c r="G37" s="368"/>
      <c r="H37" s="494">
        <f>'By-Lot'!G261</f>
        <v>8273.534400000004</v>
      </c>
      <c r="I37" s="371" t="s">
        <v>197</v>
      </c>
      <c r="J37" s="376"/>
      <c r="K37" s="376"/>
      <c r="L37" s="372">
        <f>(H37-H33)/(H33)</f>
        <v>0.06546472803245394</v>
      </c>
      <c r="M37" s="377" t="s">
        <v>129</v>
      </c>
      <c r="N37" s="369">
        <f>H37-H33</f>
        <v>508.34595000000263</v>
      </c>
      <c r="O37" s="373" t="s">
        <v>23</v>
      </c>
      <c r="P37" s="76"/>
      <c r="Q37" s="12"/>
      <c r="R37" s="505"/>
    </row>
    <row r="38" spans="1:18" s="17" customFormat="1" ht="22.5" customHeight="1">
      <c r="A38" s="5"/>
      <c r="B38" s="379">
        <v>34</v>
      </c>
      <c r="C38" s="380">
        <v>30000</v>
      </c>
      <c r="D38" s="378" t="s">
        <v>234</v>
      </c>
      <c r="E38" s="379"/>
      <c r="F38" s="381">
        <f>C38</f>
        <v>30000</v>
      </c>
      <c r="G38" s="382"/>
      <c r="H38" s="494">
        <f>'By-Lot'!G262</f>
        <v>8527.707375000002</v>
      </c>
      <c r="I38" s="383" t="s">
        <v>197</v>
      </c>
      <c r="J38" s="384"/>
      <c r="K38" s="384"/>
      <c r="L38" s="385">
        <f>(H38-$H$33)/($H$33)</f>
        <v>0.09819709204868043</v>
      </c>
      <c r="M38" s="386" t="s">
        <v>130</v>
      </c>
      <c r="N38" s="437">
        <f>H38-H33</f>
        <v>762.5189250000003</v>
      </c>
      <c r="O38" s="386" t="s">
        <v>117</v>
      </c>
      <c r="P38" s="76"/>
      <c r="Q38" s="12"/>
      <c r="R38" s="505"/>
    </row>
    <row r="39" spans="1:17" s="17" customFormat="1" ht="22.5" customHeight="1">
      <c r="A39" s="5"/>
      <c r="B39" s="70">
        <v>35</v>
      </c>
      <c r="C39" s="411">
        <v>31686</v>
      </c>
      <c r="D39" s="414" t="s">
        <v>138</v>
      </c>
      <c r="E39" s="70"/>
      <c r="F39" s="71">
        <f t="shared" si="0"/>
        <v>31686</v>
      </c>
      <c r="G39" s="413"/>
      <c r="H39" s="494">
        <f>'By-Lot'!G263</f>
        <v>7765.1884500000015</v>
      </c>
      <c r="I39" s="403" t="s">
        <v>364</v>
      </c>
      <c r="J39" s="260"/>
      <c r="K39" s="260"/>
      <c r="L39" s="415">
        <f>(H39-$H$33)/(C39-$C$33)</f>
        <v>0</v>
      </c>
      <c r="M39" s="417" t="s">
        <v>40</v>
      </c>
      <c r="N39" s="419">
        <f>(H39-$H$10)/(C39-$C$10)</f>
        <v>0.04688240800516461</v>
      </c>
      <c r="O39" s="587">
        <f>L39/L10</f>
        <v>0</v>
      </c>
      <c r="P39" s="587" t="s">
        <v>401</v>
      </c>
      <c r="Q39" s="505">
        <f>H39-H33</f>
        <v>0</v>
      </c>
    </row>
    <row r="40" spans="1:18" s="17" customFormat="1" ht="22.5" customHeight="1">
      <c r="A40" s="5"/>
      <c r="B40" s="22">
        <v>36</v>
      </c>
      <c r="C40" s="407">
        <v>31686</v>
      </c>
      <c r="D40" s="42" t="s">
        <v>38</v>
      </c>
      <c r="E40" s="22"/>
      <c r="F40" s="34">
        <f t="shared" si="0"/>
        <v>31686</v>
      </c>
      <c r="G40" s="26"/>
      <c r="H40" s="494">
        <f>'By-Lot'!G264</f>
        <v>7256.842500000002</v>
      </c>
      <c r="I40" s="65" t="s">
        <v>201</v>
      </c>
      <c r="J40" s="510"/>
      <c r="K40" s="510"/>
      <c r="L40" s="95">
        <f>(H39-H40)/(H39)</f>
        <v>0.06546472803245358</v>
      </c>
      <c r="M40" s="90" t="s">
        <v>105</v>
      </c>
      <c r="N40" s="77">
        <f>H39-H40</f>
        <v>508.3459499999999</v>
      </c>
      <c r="O40" s="68" t="s">
        <v>118</v>
      </c>
      <c r="P40" s="76"/>
      <c r="Q40" s="12"/>
      <c r="R40" s="505"/>
    </row>
    <row r="41" spans="1:18" s="17" customFormat="1" ht="22.5" customHeight="1">
      <c r="A41" s="5"/>
      <c r="B41" s="445">
        <v>37</v>
      </c>
      <c r="C41" s="452">
        <v>31686</v>
      </c>
      <c r="D41" s="453" t="s">
        <v>38</v>
      </c>
      <c r="E41" s="445" t="s">
        <v>417</v>
      </c>
      <c r="F41" s="446">
        <f>C41</f>
        <v>31686</v>
      </c>
      <c r="G41" s="451"/>
      <c r="H41" s="494">
        <f>'By-Lot'!G265</f>
        <v>7511.015475000003</v>
      </c>
      <c r="I41" s="454" t="s">
        <v>296</v>
      </c>
      <c r="J41" s="458"/>
      <c r="K41" s="458"/>
      <c r="L41" s="455">
        <f>(H39-H41)/(H39)</f>
        <v>0.03273236401622662</v>
      </c>
      <c r="M41" s="459" t="s">
        <v>220</v>
      </c>
      <c r="N41" s="460">
        <f>H39-H41</f>
        <v>254.1729749999986</v>
      </c>
      <c r="O41" s="461" t="s">
        <v>220</v>
      </c>
      <c r="P41" s="76"/>
      <c r="Q41" s="12"/>
      <c r="R41" s="505"/>
    </row>
    <row r="42" spans="1:18" s="17" customFormat="1" ht="22.5" customHeight="1">
      <c r="A42" s="5"/>
      <c r="B42" s="39">
        <v>38</v>
      </c>
      <c r="C42" s="362">
        <v>31686</v>
      </c>
      <c r="D42" s="45" t="s">
        <v>91</v>
      </c>
      <c r="E42" s="39"/>
      <c r="F42" s="51">
        <f t="shared" si="0"/>
        <v>31686</v>
      </c>
      <c r="G42" s="363"/>
      <c r="H42" s="494">
        <f>'By-Lot'!G266</f>
        <v>8019.361425000003</v>
      </c>
      <c r="I42" s="72" t="s">
        <v>125</v>
      </c>
      <c r="J42" s="74"/>
      <c r="K42" s="74"/>
      <c r="L42" s="97">
        <f>(H42-$H$39)/($H$39)</f>
        <v>0.03273236401622697</v>
      </c>
      <c r="M42" s="64" t="s">
        <v>132</v>
      </c>
      <c r="N42" s="99">
        <f>H42-H39</f>
        <v>254.17297500000132</v>
      </c>
      <c r="O42" s="427" t="s">
        <v>117</v>
      </c>
      <c r="P42" s="76"/>
      <c r="Q42" s="12"/>
      <c r="R42" s="505"/>
    </row>
    <row r="43" spans="1:18" s="17" customFormat="1" ht="22.5" customHeight="1">
      <c r="A43" s="5"/>
      <c r="B43" s="367">
        <v>39</v>
      </c>
      <c r="C43" s="366">
        <v>31686</v>
      </c>
      <c r="D43" s="364" t="s">
        <v>350</v>
      </c>
      <c r="E43" s="367"/>
      <c r="F43" s="365">
        <f t="shared" si="0"/>
        <v>31686</v>
      </c>
      <c r="G43" s="368"/>
      <c r="H43" s="494">
        <f>'By-Lot'!G267</f>
        <v>8273.534400000004</v>
      </c>
      <c r="I43" s="371" t="s">
        <v>197</v>
      </c>
      <c r="J43" s="376"/>
      <c r="K43" s="376"/>
      <c r="L43" s="372">
        <f>(H43-H39)/(H39)</f>
        <v>0.06546472803245394</v>
      </c>
      <c r="M43" s="377" t="s">
        <v>129</v>
      </c>
      <c r="N43" s="369">
        <f>H43-H39</f>
        <v>508.34595000000263</v>
      </c>
      <c r="O43" s="373" t="s">
        <v>23</v>
      </c>
      <c r="P43" s="76"/>
      <c r="Q43" s="12"/>
      <c r="R43" s="505"/>
    </row>
    <row r="44" spans="1:17" s="17" customFormat="1" ht="22.5" customHeight="1">
      <c r="A44" s="5"/>
      <c r="B44" s="70">
        <v>40</v>
      </c>
      <c r="C44" s="411">
        <v>53328</v>
      </c>
      <c r="D44" s="414" t="s">
        <v>138</v>
      </c>
      <c r="E44" s="70"/>
      <c r="F44" s="71">
        <f t="shared" si="0"/>
        <v>53328</v>
      </c>
      <c r="G44" s="413"/>
      <c r="H44" s="494">
        <f>'By-Lot'!G268</f>
        <v>7765.1884500000015</v>
      </c>
      <c r="I44" s="403" t="s">
        <v>364</v>
      </c>
      <c r="J44" s="260"/>
      <c r="K44" s="260"/>
      <c r="L44" s="415">
        <f>(H44-$H$39)/(C44-$C$39)</f>
        <v>0</v>
      </c>
      <c r="M44" s="417" t="s">
        <v>40</v>
      </c>
      <c r="N44" s="444">
        <f>(H44-$H$10)/(C44-$C$10)</f>
        <v>0.023465008770310186</v>
      </c>
      <c r="O44" s="587">
        <f>L44/L10</f>
        <v>0</v>
      </c>
      <c r="P44" s="587" t="s">
        <v>401</v>
      </c>
      <c r="Q44" s="505">
        <f>H44-H39</f>
        <v>0</v>
      </c>
    </row>
    <row r="45" spans="1:18" s="17" customFormat="1" ht="22.5" customHeight="1">
      <c r="A45" s="5"/>
      <c r="B45" s="22">
        <v>41</v>
      </c>
      <c r="C45" s="407">
        <v>53328</v>
      </c>
      <c r="D45" s="42" t="s">
        <v>38</v>
      </c>
      <c r="E45" s="22"/>
      <c r="F45" s="34">
        <f t="shared" si="0"/>
        <v>53328</v>
      </c>
      <c r="G45" s="26"/>
      <c r="H45" s="494">
        <f>'By-Lot'!G269</f>
        <v>7256.842500000002</v>
      </c>
      <c r="I45" s="65" t="s">
        <v>405</v>
      </c>
      <c r="J45" s="66"/>
      <c r="K45" s="66"/>
      <c r="L45" s="92">
        <f>(H44-H45)/(H44)</f>
        <v>0.06546472803245358</v>
      </c>
      <c r="M45" s="67" t="s">
        <v>105</v>
      </c>
      <c r="N45" s="77">
        <f>H44-H45</f>
        <v>508.3459499999999</v>
      </c>
      <c r="O45" s="68" t="s">
        <v>118</v>
      </c>
      <c r="P45" s="76"/>
      <c r="Q45" s="12"/>
      <c r="R45" s="505"/>
    </row>
    <row r="46" spans="1:18" s="17" customFormat="1" ht="22.5" customHeight="1">
      <c r="A46" s="5"/>
      <c r="B46" s="445">
        <v>42</v>
      </c>
      <c r="C46" s="452">
        <v>53328</v>
      </c>
      <c r="D46" s="453" t="s">
        <v>38</v>
      </c>
      <c r="E46" s="445" t="s">
        <v>417</v>
      </c>
      <c r="F46" s="446">
        <f>C46</f>
        <v>53328</v>
      </c>
      <c r="G46" s="451"/>
      <c r="H46" s="494">
        <f>'By-Lot'!G270</f>
        <v>7511.015475000003</v>
      </c>
      <c r="I46" s="454" t="s">
        <v>219</v>
      </c>
      <c r="J46" s="451"/>
      <c r="K46" s="451"/>
      <c r="L46" s="462">
        <f>(H44-H46)/(H44)</f>
        <v>0.03273236401622662</v>
      </c>
      <c r="M46" s="457" t="s">
        <v>220</v>
      </c>
      <c r="N46" s="449">
        <f>H45-H46</f>
        <v>-254.17297500000132</v>
      </c>
      <c r="O46" s="456" t="s">
        <v>220</v>
      </c>
      <c r="P46" s="76"/>
      <c r="Q46" s="12"/>
      <c r="R46" s="505"/>
    </row>
    <row r="47" spans="1:18" s="17" customFormat="1" ht="22.5" customHeight="1">
      <c r="A47" s="5"/>
      <c r="B47" s="39">
        <v>43</v>
      </c>
      <c r="C47" s="362">
        <v>53328</v>
      </c>
      <c r="D47" s="45" t="s">
        <v>171</v>
      </c>
      <c r="E47" s="39"/>
      <c r="F47" s="51">
        <f t="shared" si="0"/>
        <v>53328</v>
      </c>
      <c r="G47" s="363"/>
      <c r="H47" s="494">
        <f>'By-Lot'!G271</f>
        <v>8019.361425000003</v>
      </c>
      <c r="I47" s="72" t="s">
        <v>223</v>
      </c>
      <c r="J47" s="63"/>
      <c r="K47" s="63"/>
      <c r="L47" s="93">
        <f>(H47-H44)/(H44)</f>
        <v>0.03273236401622697</v>
      </c>
      <c r="M47" s="64" t="s">
        <v>173</v>
      </c>
      <c r="N47" s="99">
        <f>H47-H44</f>
        <v>254.17297500000132</v>
      </c>
      <c r="O47" s="427" t="s">
        <v>117</v>
      </c>
      <c r="P47" s="76"/>
      <c r="Q47" s="12"/>
      <c r="R47" s="505"/>
    </row>
    <row r="48" spans="1:18" s="17" customFormat="1" ht="22.5" customHeight="1">
      <c r="A48" s="5"/>
      <c r="B48" s="367">
        <v>44</v>
      </c>
      <c r="C48" s="366">
        <v>53328</v>
      </c>
      <c r="D48" s="364" t="s">
        <v>46</v>
      </c>
      <c r="E48" s="367"/>
      <c r="F48" s="365">
        <f t="shared" si="0"/>
        <v>53328</v>
      </c>
      <c r="G48" s="368"/>
      <c r="H48" s="494">
        <f>'By-Lot'!G272</f>
        <v>8273.534400000004</v>
      </c>
      <c r="I48" s="371" t="s">
        <v>355</v>
      </c>
      <c r="J48" s="368"/>
      <c r="K48" s="368"/>
      <c r="L48" s="372">
        <f>(H48-H44)/(H44)</f>
        <v>0.06546472803245394</v>
      </c>
      <c r="M48" s="375" t="s">
        <v>23</v>
      </c>
      <c r="N48" s="369">
        <f>H48-H44</f>
        <v>508.34595000000263</v>
      </c>
      <c r="O48" s="373" t="s">
        <v>23</v>
      </c>
      <c r="P48" s="76"/>
      <c r="Q48" s="12"/>
      <c r="R48" s="505"/>
    </row>
    <row r="51" ht="22.5" customHeight="1">
      <c r="D51" s="61"/>
    </row>
    <row r="52" ht="22.5" customHeight="1">
      <c r="D52" s="61"/>
    </row>
    <row r="53" spans="1:14" ht="22.5" customHeight="1">
      <c r="A53" s="40"/>
      <c r="C53" s="50"/>
      <c r="D53" s="34"/>
      <c r="E53" s="24"/>
      <c r="F53" s="24"/>
      <c r="G53" s="513"/>
      <c r="H53" s="513"/>
      <c r="I53" s="47"/>
      <c r="J53" s="511"/>
      <c r="K53" s="511"/>
      <c r="L53" s="21"/>
      <c r="M53" s="21"/>
      <c r="N53" s="21"/>
    </row>
    <row r="54" spans="1:14" ht="22.5" customHeight="1">
      <c r="A54" s="40"/>
      <c r="C54" s="56"/>
      <c r="D54" s="34"/>
      <c r="E54" s="24"/>
      <c r="F54" s="24"/>
      <c r="G54" s="513"/>
      <c r="H54" s="513"/>
      <c r="I54" s="46"/>
      <c r="J54" s="511"/>
      <c r="K54" s="511"/>
      <c r="L54" s="21"/>
      <c r="M54" s="21"/>
      <c r="N54" s="21"/>
    </row>
    <row r="55" spans="1:14" ht="22.5" customHeight="1">
      <c r="A55" s="42"/>
      <c r="C55" s="50"/>
      <c r="D55" s="34"/>
      <c r="E55" s="24"/>
      <c r="F55" s="24"/>
      <c r="G55" s="513"/>
      <c r="H55" s="513"/>
      <c r="I55" s="47"/>
      <c r="J55" s="511"/>
      <c r="K55" s="511"/>
      <c r="L55" s="21"/>
      <c r="M55" s="21"/>
      <c r="N55" s="21"/>
    </row>
    <row r="56" spans="1:14" ht="22.5" customHeight="1">
      <c r="A56" s="62"/>
      <c r="C56" s="50"/>
      <c r="D56" s="34"/>
      <c r="E56" s="24"/>
      <c r="F56" s="24"/>
      <c r="H56" s="513"/>
      <c r="I56" s="47"/>
      <c r="J56" s="511"/>
      <c r="K56" s="511"/>
      <c r="L56" s="21"/>
      <c r="M56" s="21"/>
      <c r="N56" s="21"/>
    </row>
    <row r="57" spans="1:14" ht="22.5" customHeight="1">
      <c r="A57" s="44"/>
      <c r="C57" s="50"/>
      <c r="D57" s="34"/>
      <c r="E57" s="24"/>
      <c r="F57" s="24"/>
      <c r="H57" s="513"/>
      <c r="I57" s="47"/>
      <c r="J57" s="511"/>
      <c r="K57" s="511"/>
      <c r="L57" s="21"/>
      <c r="M57" s="21"/>
      <c r="N57" s="21"/>
    </row>
    <row r="58" spans="1:14" ht="22.5" customHeight="1">
      <c r="A58" s="43"/>
      <c r="C58" s="50"/>
      <c r="D58" s="34"/>
      <c r="E58" s="24"/>
      <c r="F58" s="24"/>
      <c r="H58" s="513"/>
      <c r="I58" s="47"/>
      <c r="J58" s="511"/>
      <c r="K58" s="511"/>
      <c r="L58" s="21"/>
      <c r="M58" s="21"/>
      <c r="N58" s="21"/>
    </row>
    <row r="59" spans="1:14" ht="22.5" customHeight="1">
      <c r="A59" s="42"/>
      <c r="B59" s="36"/>
      <c r="C59" s="35"/>
      <c r="D59" s="34"/>
      <c r="E59" s="24"/>
      <c r="F59" s="24"/>
      <c r="H59" s="513"/>
      <c r="I59" s="47"/>
      <c r="J59" s="511"/>
      <c r="K59" s="511"/>
      <c r="L59" s="21"/>
      <c r="M59" s="21"/>
      <c r="N59" s="21"/>
    </row>
    <row r="60" spans="1:14" ht="22.5" customHeight="1">
      <c r="A60" s="62"/>
      <c r="C60" s="50"/>
      <c r="D60" s="34"/>
      <c r="E60" s="24"/>
      <c r="F60" s="24"/>
      <c r="H60" s="513"/>
      <c r="I60" s="47"/>
      <c r="J60" s="511"/>
      <c r="K60" s="511"/>
      <c r="L60" s="21"/>
      <c r="M60" s="21"/>
      <c r="N60" s="21"/>
    </row>
    <row r="61" spans="1:14" ht="22.5" customHeight="1">
      <c r="A61" s="41"/>
      <c r="C61" s="50"/>
      <c r="D61" s="34"/>
      <c r="E61" s="24"/>
      <c r="F61" s="24"/>
      <c r="G61" s="513"/>
      <c r="H61" s="513"/>
      <c r="I61" s="47"/>
      <c r="J61" s="511"/>
      <c r="K61" s="511"/>
      <c r="L61" s="21"/>
      <c r="M61" s="21"/>
      <c r="N61" s="21"/>
    </row>
    <row r="62" spans="1:14" ht="22.5" customHeight="1">
      <c r="A62" s="43"/>
      <c r="C62" s="50"/>
      <c r="D62" s="34"/>
      <c r="E62" s="24"/>
      <c r="F62" s="24"/>
      <c r="G62" s="513"/>
      <c r="H62" s="513"/>
      <c r="I62" s="47"/>
      <c r="J62" s="511"/>
      <c r="K62" s="511"/>
      <c r="L62" s="21"/>
      <c r="M62" s="21"/>
      <c r="N62" s="21"/>
    </row>
    <row r="63" spans="1:14" ht="22.5" customHeight="1">
      <c r="A63" s="42"/>
      <c r="C63" s="50"/>
      <c r="D63" s="34"/>
      <c r="E63" s="24"/>
      <c r="F63" s="24"/>
      <c r="G63" s="513"/>
      <c r="H63" s="513"/>
      <c r="I63" s="47"/>
      <c r="J63" s="511"/>
      <c r="K63" s="511"/>
      <c r="L63" s="21"/>
      <c r="M63" s="21"/>
      <c r="N63" s="21"/>
    </row>
    <row r="64" spans="1:14" ht="22.5" customHeight="1">
      <c r="A64" s="44"/>
      <c r="C64" s="50"/>
      <c r="D64" s="22"/>
      <c r="E64" s="24"/>
      <c r="F64" s="24"/>
      <c r="H64" s="513"/>
      <c r="I64" s="47"/>
      <c r="J64" s="511"/>
      <c r="K64" s="511"/>
      <c r="L64" s="21"/>
      <c r="M64" s="21"/>
      <c r="N64" s="21"/>
    </row>
    <row r="65" spans="1:9" ht="22.5" customHeight="1">
      <c r="A65" s="44"/>
      <c r="D65" s="22"/>
      <c r="E65" s="24"/>
      <c r="F65" s="24"/>
      <c r="H65" s="514"/>
      <c r="I65" s="47"/>
    </row>
    <row r="66" spans="1:9" ht="22.5" customHeight="1">
      <c r="A66" s="44"/>
      <c r="D66" s="22"/>
      <c r="E66" s="24"/>
      <c r="F66" s="24"/>
      <c r="H66" s="514"/>
      <c r="I66" s="47"/>
    </row>
    <row r="67" spans="1:18" s="510" customFormat="1" ht="22.5" customHeight="1">
      <c r="A67" s="43"/>
      <c r="B67" s="22"/>
      <c r="C67" s="12"/>
      <c r="D67" s="22"/>
      <c r="E67" s="24"/>
      <c r="F67" s="24"/>
      <c r="G67" s="26"/>
      <c r="H67" s="514"/>
      <c r="I67" s="47"/>
      <c r="J67" s="648"/>
      <c r="K67" s="648"/>
      <c r="L67" s="12"/>
      <c r="M67" s="27"/>
      <c r="N67" s="12"/>
      <c r="O67" s="12"/>
      <c r="P67" s="12"/>
      <c r="Q67" s="12"/>
      <c r="R67" s="505"/>
    </row>
    <row r="68" spans="1:18" s="510" customFormat="1" ht="22.5" customHeight="1">
      <c r="A68" s="42"/>
      <c r="B68" s="22"/>
      <c r="C68" s="12"/>
      <c r="D68" s="22"/>
      <c r="E68" s="24"/>
      <c r="F68" s="24"/>
      <c r="G68" s="26"/>
      <c r="H68" s="514"/>
      <c r="I68" s="47"/>
      <c r="J68" s="648"/>
      <c r="K68" s="648"/>
      <c r="L68" s="12"/>
      <c r="M68" s="27"/>
      <c r="N68" s="12"/>
      <c r="O68" s="12"/>
      <c r="P68" s="12"/>
      <c r="Q68" s="12"/>
      <c r="R68" s="505"/>
    </row>
    <row r="69" spans="1:18" s="510" customFormat="1" ht="22.5" customHeight="1">
      <c r="A69" s="44"/>
      <c r="B69" s="22"/>
      <c r="C69" s="50"/>
      <c r="D69" s="22"/>
      <c r="E69" s="24"/>
      <c r="F69" s="24"/>
      <c r="G69" s="26"/>
      <c r="H69" s="514"/>
      <c r="I69" s="47"/>
      <c r="J69" s="648"/>
      <c r="K69" s="648"/>
      <c r="L69" s="12"/>
      <c r="M69" s="27"/>
      <c r="N69" s="12"/>
      <c r="O69" s="12"/>
      <c r="P69" s="12"/>
      <c r="Q69" s="12"/>
      <c r="R69" s="505"/>
    </row>
    <row r="70" spans="1:18" s="510" customFormat="1" ht="22.5" customHeight="1">
      <c r="A70" s="44"/>
      <c r="B70" s="22"/>
      <c r="C70" s="12"/>
      <c r="D70" s="22"/>
      <c r="E70" s="12"/>
      <c r="F70" s="12"/>
      <c r="G70" s="26"/>
      <c r="H70" s="648"/>
      <c r="I70" s="12"/>
      <c r="J70" s="648"/>
      <c r="K70" s="648"/>
      <c r="L70" s="12"/>
      <c r="M70" s="27"/>
      <c r="N70" s="12"/>
      <c r="O70" s="12"/>
      <c r="P70" s="12"/>
      <c r="Q70" s="12"/>
      <c r="R70" s="505"/>
    </row>
    <row r="71" spans="1:18" s="510" customFormat="1" ht="22.5" customHeight="1">
      <c r="A71" s="44"/>
      <c r="B71" s="22"/>
      <c r="C71" s="12"/>
      <c r="D71" s="22"/>
      <c r="E71" s="12"/>
      <c r="F71" s="12"/>
      <c r="G71" s="26"/>
      <c r="H71" s="648"/>
      <c r="I71" s="12"/>
      <c r="J71" s="648"/>
      <c r="K71" s="648"/>
      <c r="L71" s="12"/>
      <c r="M71" s="27"/>
      <c r="N71" s="12"/>
      <c r="O71" s="12"/>
      <c r="P71" s="12"/>
      <c r="Q71" s="12"/>
      <c r="R71" s="505"/>
    </row>
    <row r="72" spans="1:18" s="510" customFormat="1" ht="22.5" customHeight="1">
      <c r="A72" s="43"/>
      <c r="B72" s="22"/>
      <c r="C72" s="12"/>
      <c r="D72" s="22"/>
      <c r="E72" s="12"/>
      <c r="F72" s="12"/>
      <c r="G72" s="26"/>
      <c r="H72" s="648"/>
      <c r="I72" s="12"/>
      <c r="J72" s="648"/>
      <c r="K72" s="648"/>
      <c r="L72" s="12"/>
      <c r="M72" s="27"/>
      <c r="N72" s="12"/>
      <c r="O72" s="12"/>
      <c r="P72" s="12"/>
      <c r="Q72" s="12"/>
      <c r="R72" s="505"/>
    </row>
    <row r="73" spans="1:18" s="510" customFormat="1" ht="22.5" customHeight="1">
      <c r="A73" s="42"/>
      <c r="B73" s="22"/>
      <c r="C73" s="12"/>
      <c r="D73" s="22"/>
      <c r="E73" s="12"/>
      <c r="F73" s="12"/>
      <c r="G73" s="26"/>
      <c r="H73" s="648"/>
      <c r="I73" s="12"/>
      <c r="J73" s="648"/>
      <c r="K73" s="648"/>
      <c r="L73" s="12"/>
      <c r="M73" s="27"/>
      <c r="N73" s="12"/>
      <c r="O73" s="12"/>
      <c r="P73" s="12"/>
      <c r="Q73" s="12"/>
      <c r="R73" s="505"/>
    </row>
    <row r="74" spans="1:18" s="510" customFormat="1" ht="22.5" customHeight="1">
      <c r="A74" s="44"/>
      <c r="B74" s="22"/>
      <c r="C74" s="50"/>
      <c r="D74" s="22"/>
      <c r="E74" s="12"/>
      <c r="F74" s="12"/>
      <c r="G74" s="26"/>
      <c r="H74" s="648"/>
      <c r="I74" s="12"/>
      <c r="J74" s="648"/>
      <c r="K74" s="648"/>
      <c r="L74" s="12"/>
      <c r="M74" s="27"/>
      <c r="N74" s="12"/>
      <c r="O74" s="12"/>
      <c r="P74" s="12"/>
      <c r="Q74" s="12"/>
      <c r="R74" s="505"/>
    </row>
    <row r="75" spans="1:18" s="510" customFormat="1" ht="22.5" customHeight="1">
      <c r="A75" s="44"/>
      <c r="B75" s="22"/>
      <c r="C75" s="12"/>
      <c r="D75" s="22"/>
      <c r="E75" s="12"/>
      <c r="F75" s="12"/>
      <c r="G75" s="26"/>
      <c r="H75" s="648"/>
      <c r="I75" s="12"/>
      <c r="J75" s="648"/>
      <c r="K75" s="648"/>
      <c r="L75" s="12"/>
      <c r="M75" s="27"/>
      <c r="N75" s="12"/>
      <c r="O75" s="12"/>
      <c r="P75" s="12"/>
      <c r="Q75" s="12"/>
      <c r="R75" s="505"/>
    </row>
    <row r="76" spans="1:18" s="510" customFormat="1" ht="22.5" customHeight="1">
      <c r="A76" s="43"/>
      <c r="B76" s="22"/>
      <c r="C76" s="12"/>
      <c r="D76" s="22"/>
      <c r="E76" s="12"/>
      <c r="F76" s="12"/>
      <c r="G76" s="26"/>
      <c r="H76" s="648"/>
      <c r="I76" s="12"/>
      <c r="J76" s="648"/>
      <c r="K76" s="648"/>
      <c r="L76" s="12"/>
      <c r="M76" s="27"/>
      <c r="N76" s="12"/>
      <c r="O76" s="12"/>
      <c r="P76" s="12"/>
      <c r="Q76" s="12"/>
      <c r="R76" s="505"/>
    </row>
    <row r="77" spans="1:18" s="510" customFormat="1" ht="22.5" customHeight="1">
      <c r="A77" s="42"/>
      <c r="B77" s="22"/>
      <c r="C77" s="12"/>
      <c r="D77" s="22"/>
      <c r="E77" s="12"/>
      <c r="F77" s="12"/>
      <c r="G77" s="26"/>
      <c r="H77" s="648"/>
      <c r="I77" s="12"/>
      <c r="J77" s="648"/>
      <c r="K77" s="648"/>
      <c r="L77" s="12"/>
      <c r="M77" s="27"/>
      <c r="N77" s="12"/>
      <c r="O77" s="12"/>
      <c r="P77" s="12"/>
      <c r="Q77" s="12"/>
      <c r="R77" s="505"/>
    </row>
    <row r="78" spans="1:18" s="510" customFormat="1" ht="22.5" customHeight="1">
      <c r="A78" s="44"/>
      <c r="B78" s="22"/>
      <c r="C78" s="50"/>
      <c r="D78" s="22"/>
      <c r="E78" s="12"/>
      <c r="F78" s="12"/>
      <c r="G78" s="26"/>
      <c r="H78" s="648"/>
      <c r="I78" s="12"/>
      <c r="J78" s="648"/>
      <c r="K78" s="648"/>
      <c r="L78" s="12"/>
      <c r="M78" s="27"/>
      <c r="N78" s="12"/>
      <c r="O78" s="12"/>
      <c r="P78" s="12"/>
      <c r="Q78" s="12"/>
      <c r="R78" s="505"/>
    </row>
    <row r="79" spans="1:18" s="510" customFormat="1" ht="22.5" customHeight="1">
      <c r="A79" s="44"/>
      <c r="B79" s="22"/>
      <c r="C79" s="12"/>
      <c r="D79" s="22"/>
      <c r="E79" s="12"/>
      <c r="F79" s="12"/>
      <c r="G79" s="26"/>
      <c r="H79" s="648"/>
      <c r="I79" s="12"/>
      <c r="J79" s="648"/>
      <c r="K79" s="648"/>
      <c r="L79" s="12"/>
      <c r="M79" s="27"/>
      <c r="N79" s="12"/>
      <c r="O79" s="12"/>
      <c r="P79" s="12"/>
      <c r="Q79" s="12"/>
      <c r="R79" s="505"/>
    </row>
  </sheetData>
  <printOptions gridLines="1" horizontalCentered="1"/>
  <pageMargins left="0.5" right="0.5" top="1" bottom="0.5" header="0.5" footer="0.5"/>
  <pageSetup orientation="landscape" pageOrder="overThenDown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Curtis</dc:creator>
  <cp:keywords/>
  <dc:description/>
  <cp:lastModifiedBy>Mike Curtis</cp:lastModifiedBy>
  <cp:lastPrinted>2013-09-11T18:38:29Z</cp:lastPrinted>
  <dcterms:created xsi:type="dcterms:W3CDTF">2008-09-27T17:55:36Z</dcterms:created>
  <dcterms:modified xsi:type="dcterms:W3CDTF">2013-10-07T20:08:21Z</dcterms:modified>
  <cp:category/>
  <cp:version/>
  <cp:contentType/>
  <cp:contentStatus/>
</cp:coreProperties>
</file>